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1700" firstSheet="6" activeTab="8"/>
  </bookViews>
  <sheets>
    <sheet name="收入支出决算总表" sheetId="1" r:id="rId1"/>
    <sheet name="收入决算表" sheetId="2" r:id="rId2"/>
    <sheet name="支出决算表" sheetId="3" r:id="rId3"/>
    <sheet name="财政拨款收入支出决算总表" sheetId="4" r:id="rId4"/>
    <sheet name="一般公共预算财政拨款收入支出决算表" sheetId="5" r:id="rId5"/>
    <sheet name="一般公共预算财政拨款基本支出决算表" sheetId="6" r:id="rId6"/>
    <sheet name="部门“三公”支出信息统计表" sheetId="7" r:id="rId7"/>
    <sheet name="“三公”支出决算明细表" sheetId="8" r:id="rId8"/>
    <sheet name="政府性基金预算财政拨款收入支出决算表" sheetId="9" r:id="rId9"/>
  </sheets>
  <definedNames/>
  <calcPr fullCalcOnLoad="1"/>
</workbook>
</file>

<file path=xl/sharedStrings.xml><?xml version="1.0" encoding="utf-8"?>
<sst xmlns="http://schemas.openxmlformats.org/spreadsheetml/2006/main" count="1042" uniqueCount="398">
  <si>
    <t>收入支出决算总表</t>
  </si>
  <si>
    <t>单位：万元</t>
  </si>
  <si>
    <t>收入</t>
  </si>
  <si>
    <t>支出</t>
  </si>
  <si>
    <t>项目</t>
  </si>
  <si>
    <t>行次</t>
  </si>
  <si>
    <t>决算数</t>
  </si>
  <si>
    <t>项目(按功能分类)</t>
  </si>
  <si>
    <t>项目(按支出性质和经济分类)</t>
  </si>
  <si>
    <t>栏次</t>
  </si>
  <si>
    <t>一、财政拨款收入</t>
  </si>
  <si>
    <t>1</t>
  </si>
  <si>
    <t>一、一般公共服务支出</t>
  </si>
  <si>
    <t>37</t>
  </si>
  <si>
    <t>一、基本支出</t>
  </si>
  <si>
    <t>60</t>
  </si>
  <si>
    <t>　　其中：政府性基金</t>
  </si>
  <si>
    <t>2</t>
  </si>
  <si>
    <t>二、外交支出</t>
  </si>
  <si>
    <t>38</t>
  </si>
  <si>
    <t xml:space="preserve">    人员经费</t>
  </si>
  <si>
    <t>61</t>
  </si>
  <si>
    <t>二、上级补助收入</t>
  </si>
  <si>
    <t>3</t>
  </si>
  <si>
    <t>三、国防支出</t>
  </si>
  <si>
    <t>39</t>
  </si>
  <si>
    <t xml:space="preserve">    日常公用经费</t>
  </si>
  <si>
    <t>62</t>
  </si>
  <si>
    <t>三、事业收入</t>
  </si>
  <si>
    <t>4</t>
  </si>
  <si>
    <t>四、公共安全支出</t>
  </si>
  <si>
    <t>40</t>
  </si>
  <si>
    <t>二、项目支出</t>
  </si>
  <si>
    <t>63</t>
  </si>
  <si>
    <t>四、经营收入</t>
  </si>
  <si>
    <t>5</t>
  </si>
  <si>
    <t>五、教育支出</t>
  </si>
  <si>
    <t>41</t>
  </si>
  <si>
    <t xml:space="preserve">    基本建设类项目</t>
  </si>
  <si>
    <t>64</t>
  </si>
  <si>
    <t>五、附属单位上缴收入</t>
  </si>
  <si>
    <t>6</t>
  </si>
  <si>
    <t>六、科学技术支出</t>
  </si>
  <si>
    <t>42</t>
  </si>
  <si>
    <t xml:space="preserve">    行政事业类项目</t>
  </si>
  <si>
    <t>65</t>
  </si>
  <si>
    <t>六、其他收入</t>
  </si>
  <si>
    <t>7</t>
  </si>
  <si>
    <t>七、文化体育与传媒支出</t>
  </si>
  <si>
    <t>43</t>
  </si>
  <si>
    <t>三、上缴上级支出</t>
  </si>
  <si>
    <t>66</t>
  </si>
  <si>
    <t>8</t>
  </si>
  <si>
    <t>八、社会保障和就业支出</t>
  </si>
  <si>
    <t>44</t>
  </si>
  <si>
    <t>四、经营支出</t>
  </si>
  <si>
    <t>67</t>
  </si>
  <si>
    <t>9</t>
  </si>
  <si>
    <t>九、医疗卫生与计划生育支出</t>
  </si>
  <si>
    <t>45</t>
  </si>
  <si>
    <t>五、对附属单位补助支出</t>
  </si>
  <si>
    <t>68</t>
  </si>
  <si>
    <t>10</t>
  </si>
  <si>
    <t>十、节能环保支出</t>
  </si>
  <si>
    <t>46</t>
  </si>
  <si>
    <t>69</t>
  </si>
  <si>
    <t>11</t>
  </si>
  <si>
    <t>十一、城乡社区支出</t>
  </si>
  <si>
    <t>47</t>
  </si>
  <si>
    <t>支出经济分类</t>
  </si>
  <si>
    <t>70</t>
  </si>
  <si>
    <t>12</t>
  </si>
  <si>
    <t>十二、农林水支出</t>
  </si>
  <si>
    <t>48</t>
  </si>
  <si>
    <t>基本支出和项目支出合计</t>
  </si>
  <si>
    <t>71</t>
  </si>
  <si>
    <t>13</t>
  </si>
  <si>
    <t>十三、交通运输支出</t>
  </si>
  <si>
    <t>49</t>
  </si>
  <si>
    <t xml:space="preserve">  工资福利支出</t>
  </si>
  <si>
    <t>72</t>
  </si>
  <si>
    <t>14</t>
  </si>
  <si>
    <t>十四、资源勘探信息等支出</t>
  </si>
  <si>
    <t>50</t>
  </si>
  <si>
    <t xml:space="preserve">  商品和服务支出</t>
  </si>
  <si>
    <t>73</t>
  </si>
  <si>
    <t>15</t>
  </si>
  <si>
    <t>十五、商业服务业等支出</t>
  </si>
  <si>
    <t>51</t>
  </si>
  <si>
    <t xml:space="preserve">  对个人和家庭的补助</t>
  </si>
  <si>
    <t>74</t>
  </si>
  <si>
    <t>16</t>
  </si>
  <si>
    <t>十六、金融支出</t>
  </si>
  <si>
    <t>52</t>
  </si>
  <si>
    <t xml:space="preserve">  对企事业单位的补贴</t>
  </si>
  <si>
    <t>75</t>
  </si>
  <si>
    <t>17</t>
  </si>
  <si>
    <t>十七、援助其他地区支出</t>
  </si>
  <si>
    <t>53</t>
  </si>
  <si>
    <t xml:space="preserve">  赠与</t>
  </si>
  <si>
    <t>76</t>
  </si>
  <si>
    <t>18</t>
  </si>
  <si>
    <t>十八、国土海洋气象等支出</t>
  </si>
  <si>
    <t>54</t>
  </si>
  <si>
    <t xml:space="preserve">  债务利息支出</t>
  </si>
  <si>
    <t>77</t>
  </si>
  <si>
    <t>19</t>
  </si>
  <si>
    <t>十九、住房保障支出</t>
  </si>
  <si>
    <t>55</t>
  </si>
  <si>
    <t xml:space="preserve">  基本建设支出</t>
  </si>
  <si>
    <t>78</t>
  </si>
  <si>
    <t>20</t>
  </si>
  <si>
    <t>二十、粮油物资储备支出</t>
  </si>
  <si>
    <t>56</t>
  </si>
  <si>
    <t xml:space="preserve">  其他资本性支出</t>
  </si>
  <si>
    <t>79</t>
  </si>
  <si>
    <t>21</t>
  </si>
  <si>
    <t>二十一、国债还本付息支出</t>
  </si>
  <si>
    <t>57</t>
  </si>
  <si>
    <t xml:space="preserve">  贷款转贷及产权参股</t>
  </si>
  <si>
    <t>80</t>
  </si>
  <si>
    <t>22</t>
  </si>
  <si>
    <t>二十二、其他支出</t>
  </si>
  <si>
    <t>58</t>
  </si>
  <si>
    <t xml:space="preserve">  其他支出</t>
  </si>
  <si>
    <t>81</t>
  </si>
  <si>
    <t>23</t>
  </si>
  <si>
    <t>59</t>
  </si>
  <si>
    <t>82</t>
  </si>
  <si>
    <t>本年收入合计</t>
  </si>
  <si>
    <t>24</t>
  </si>
  <si>
    <t>本年支出合计</t>
  </si>
  <si>
    <t>83</t>
  </si>
  <si>
    <t xml:space="preserve">    用事业基金弥补收支差额</t>
  </si>
  <si>
    <t>25</t>
  </si>
  <si>
    <t xml:space="preserve">    结余分配</t>
  </si>
  <si>
    <t>84</t>
  </si>
  <si>
    <t xml:space="preserve">    年初结转和结余</t>
  </si>
  <si>
    <t>26</t>
  </si>
  <si>
    <t xml:space="preserve">      交纳所得税</t>
  </si>
  <si>
    <t>104</t>
  </si>
  <si>
    <t>　　其中：交纳所得税</t>
  </si>
  <si>
    <t>85</t>
  </si>
  <si>
    <t xml:space="preserve">      基本支出结转</t>
  </si>
  <si>
    <t>27</t>
  </si>
  <si>
    <t xml:space="preserve">      提取职工福利基金</t>
  </si>
  <si>
    <t>105</t>
  </si>
  <si>
    <t>　　　　　提取职工福利基金</t>
  </si>
  <si>
    <t>86</t>
  </si>
  <si>
    <t xml:space="preserve">      项目支出结转和结余</t>
  </si>
  <si>
    <t>28</t>
  </si>
  <si>
    <t xml:space="preserve">      转入事业基金</t>
  </si>
  <si>
    <t>106</t>
  </si>
  <si>
    <t>　　　　　转入事业基金</t>
  </si>
  <si>
    <t>87</t>
  </si>
  <si>
    <t xml:space="preserve">      经营结余</t>
  </si>
  <si>
    <t>29</t>
  </si>
  <si>
    <t xml:space="preserve">      其他</t>
  </si>
  <si>
    <t>107</t>
  </si>
  <si>
    <t>　　　　　其他</t>
  </si>
  <si>
    <t>88</t>
  </si>
  <si>
    <t>30</t>
  </si>
  <si>
    <t xml:space="preserve">    年末结转和结余</t>
  </si>
  <si>
    <t>108</t>
  </si>
  <si>
    <t>　　年末结余</t>
  </si>
  <si>
    <t>89</t>
  </si>
  <si>
    <t>31</t>
  </si>
  <si>
    <t>90</t>
  </si>
  <si>
    <t>32</t>
  </si>
  <si>
    <t>91</t>
  </si>
  <si>
    <t>33</t>
  </si>
  <si>
    <t>92</t>
  </si>
  <si>
    <t>总计</t>
  </si>
  <si>
    <t>36</t>
  </si>
  <si>
    <t>95</t>
  </si>
  <si>
    <t>收入决算表</t>
  </si>
  <si>
    <t>单位名称：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</si>
  <si>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</si>
  <si>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</si>
  <si>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</si>
  <si>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</si>
  <si>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</si>
  <si>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</si>
  <si>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 科目编码</t>
  </si>
  <si>
    <t>科目名称</t>
  </si>
  <si>
    <t>类</t>
  </si>
  <si>
    <t>款</t>
  </si>
  <si>
    <t>项</t>
  </si>
  <si>
    <t>合计</t>
  </si>
  <si>
    <t>支出决算表</t>
  </si>
  <si>
    <t>基本支出</t>
  </si>
  <si>
    <t>项目支出</t>
  </si>
  <si>
    <t>上缴上级支出</t>
  </si>
  <si>
    <t>经营支出</t>
  </si>
  <si>
    <t>对附属单位补助支出</t>
  </si>
  <si>
    <t>支出功能分类  科目编码</t>
  </si>
  <si>
    <t>财政拨款收入支出决算总表</t>
  </si>
  <si>
    <t>收     入</t>
  </si>
  <si>
    <t>支     出</t>
  </si>
  <si>
    <t>项    目</t>
  </si>
  <si>
    <t>项目（按功能分类）</t>
  </si>
  <si>
    <t>小计</t>
  </si>
  <si>
    <t>公共预算财政拨款</t>
  </si>
  <si>
    <t>政府性基金预算财政拨款</t>
  </si>
  <si>
    <t>栏    次</t>
  </si>
  <si>
    <t>一、公共预算财政拨款</t>
  </si>
  <si>
    <t>二、政府性基金预算财政拨款</t>
  </si>
  <si>
    <t>34</t>
  </si>
  <si>
    <t>35</t>
  </si>
  <si>
    <t>年初财政拨款结转和结余</t>
  </si>
  <si>
    <t>年末财政拨款结转和结余</t>
  </si>
  <si>
    <t>基本支出结转</t>
  </si>
  <si>
    <t xml:space="preserve">     项目支出结转和结余</t>
  </si>
  <si>
    <t>收入总计</t>
  </si>
  <si>
    <t>支出总计</t>
  </si>
  <si>
    <t>一般公共预算财政拨款收入支出决算表</t>
  </si>
  <si>
    <t>本年收入</t>
  </si>
  <si>
    <t>本年支出</t>
  </si>
  <si>
    <t>支出功能分类科目编码</t>
  </si>
  <si>
    <t>其中：基本建设资金支出</t>
  </si>
  <si>
    <t>人员经费</t>
  </si>
  <si>
    <t>日常公用经费</t>
  </si>
  <si>
    <t>一般公共预算财政拨款基本支出决算表</t>
  </si>
  <si>
    <t>工资福利支出</t>
  </si>
  <si>
    <t>商品和服务支出</t>
  </si>
  <si>
    <t>对个人和家庭的补助</t>
  </si>
  <si>
    <t>基本建设支出</t>
  </si>
  <si>
    <t>其他资本性支出</t>
  </si>
  <si>
    <t>对企事业单位的补贴</t>
  </si>
  <si>
    <t>债务利息支出</t>
  </si>
  <si>
    <t>其他支出</t>
  </si>
  <si>
    <t>基本工资</t>
  </si>
  <si>
    <t>津贴补贴</t>
  </si>
  <si>
    <t>奖金</t>
  </si>
  <si>
    <t>社会保障缴费</t>
  </si>
  <si>
    <t>伙食费</t>
  </si>
  <si>
    <t>伙食补助费</t>
  </si>
  <si>
    <t>绩效工资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</si>
  <si>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</si>
  <si>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</si>
  <si>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</si>
  <si>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</si>
  <si>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</si>
  <si>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</si>
  <si>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</si>
  <si>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</si>
  <si>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</si>
  <si>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</si>
  <si>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</si>
  <si>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</si>
  <si>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</si>
  <si>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</si>
  <si>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</si>
  <si>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</si>
  <si>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</si>
  <si>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</si>
  <si>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</si>
  <si>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</si>
  <si>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</si>
  <si>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</si>
  <si>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</si>
  <si>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</si>
  <si>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</si>
  <si>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</si>
  <si>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</si>
  <si>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</si>
  <si>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</si>
  <si>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</si>
  <si>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</si>
  <si>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</si>
  <si>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</si>
  <si>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</si>
  <si>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</si>
  <si>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</si>
  <si>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</si>
  <si>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</si>
  <si>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</si>
  <si>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</si>
  <si>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</si>
  <si>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其他对个人和家庭的补助支出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</si>
  <si>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</si>
  <si>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</si>
  <si>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</si>
  <si>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</si>
  <si>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</si>
  <si>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</si>
  <si>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</si>
  <si>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</si>
  <si>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</si>
  <si>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</si>
  <si>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</si>
  <si>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</si>
  <si>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</si>
  <si>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</si>
  <si>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</si>
  <si>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企业政策性补贴</t>
  </si>
  <si>
    <t>事业单位补贴</t>
  </si>
  <si>
    <t>财政贴息</t>
  </si>
  <si>
    <t>其他对企事业单位的补贴</t>
  </si>
  <si>
    <t>国内债务付息</t>
  </si>
  <si>
    <t>国外债务付息</t>
  </si>
  <si>
    <t>赠与</t>
  </si>
  <si>
    <t>贷款转贷</t>
  </si>
  <si>
    <t>部门“三公”支出信息统计表</t>
  </si>
  <si>
    <t>项  目</t>
  </si>
  <si>
    <t>统计数</t>
  </si>
  <si>
    <t>栏  次</t>
  </si>
  <si>
    <t>一、“三公”经费支出</t>
  </si>
  <si>
    <t>—</t>
  </si>
  <si>
    <t>二、机关运行经费</t>
  </si>
  <si>
    <t>（一）支出合计</t>
  </si>
  <si>
    <t>（一）行政单位</t>
  </si>
  <si>
    <t xml:space="preserve">  1.因公出国（境）费</t>
  </si>
  <si>
    <t>（二）参照公务员法管理事业单位</t>
  </si>
  <si>
    <t xml:space="preserve">  2.公务用车购置及运行维护费</t>
  </si>
  <si>
    <t xml:space="preserve">    （1）公务用车购置费</t>
  </si>
  <si>
    <t>三、国有资产占用情况</t>
  </si>
  <si>
    <t xml:space="preserve">    （2）公务用车运行维护费</t>
  </si>
  <si>
    <t>（一）车辆数合计（辆）</t>
  </si>
  <si>
    <t xml:space="preserve">  3.公务接待费</t>
  </si>
  <si>
    <t xml:space="preserve">  1.部级领导干部用车</t>
  </si>
  <si>
    <t xml:space="preserve">    （1）国内接待费</t>
  </si>
  <si>
    <t xml:space="preserve">  2.一般公务用车</t>
  </si>
  <si>
    <t xml:space="preserve">    （2）国（境）外接待费</t>
  </si>
  <si>
    <t xml:space="preserve">  3.一般执法执勤用车</t>
  </si>
  <si>
    <t>（二）相关统计数</t>
  </si>
  <si>
    <t xml:space="preserve">  4.特种专业技术用车</t>
  </si>
  <si>
    <t xml:space="preserve">  1.因公出国（境）团组数（个）</t>
  </si>
  <si>
    <t xml:space="preserve">  5.其他用车</t>
  </si>
  <si>
    <t xml:space="preserve">  2.因公出国（境）人次数（人）</t>
  </si>
  <si>
    <t>（二）单位价值200万元以上大型设备（台，套）</t>
  </si>
  <si>
    <t xml:space="preserve">  3.公务用车购置数（辆）</t>
  </si>
  <si>
    <t>　</t>
  </si>
  <si>
    <t xml:space="preserve">  4.公务用车保有量（辆）</t>
  </si>
  <si>
    <t xml:space="preserve">  5.国内公务接待批次（个）</t>
  </si>
  <si>
    <t xml:space="preserve">  6.国内公务接待人次（人）</t>
  </si>
  <si>
    <t xml:space="preserve">  7.国（境）外公务接待批次（个）</t>
  </si>
  <si>
    <t xml:space="preserve">  8.国（境）外公务接待人次（人）</t>
  </si>
  <si>
    <t>“三公”经费支出决算明细表</t>
  </si>
  <si>
    <t>公务用车运行及购置费</t>
  </si>
  <si>
    <t>政府性基金预算财政拨款收入支出决算表</t>
  </si>
  <si>
    <t>单位：韶关市环境保护局</t>
  </si>
  <si>
    <t>韶关市环境保护局</t>
  </si>
  <si>
    <t>单位名称：韶关市环境保护局</t>
  </si>
  <si>
    <t>一般公共服务支出</t>
  </si>
  <si>
    <t>其他一般公共服务支出</t>
  </si>
  <si>
    <t xml:space="preserve">  其他一般公共服务支出</t>
  </si>
  <si>
    <t>社会保障和就业支出</t>
  </si>
  <si>
    <t>行政事业单位离退休</t>
  </si>
  <si>
    <t>企业改革补助</t>
  </si>
  <si>
    <t>其他社会保障和就业支出</t>
  </si>
  <si>
    <t>节能环保支出</t>
  </si>
  <si>
    <t>环境保护管理事务</t>
  </si>
  <si>
    <t>污染防治</t>
  </si>
  <si>
    <t xml:space="preserve">  排污费安排的支出</t>
  </si>
  <si>
    <t xml:space="preserve">  其他污染防治支出</t>
  </si>
  <si>
    <t>住房保障支出</t>
  </si>
  <si>
    <t>住房改革支出</t>
  </si>
  <si>
    <t xml:space="preserve">  住房公积金</t>
  </si>
  <si>
    <t>一般公共服务支出</t>
  </si>
  <si>
    <t>污染防治</t>
  </si>
  <si>
    <t>环境保护宣传</t>
  </si>
  <si>
    <t>行政运行</t>
  </si>
  <si>
    <t>环境保护管理事务</t>
  </si>
  <si>
    <t>节能环保支出</t>
  </si>
  <si>
    <t>企业关闭破产补助</t>
  </si>
  <si>
    <t>企业改革补助</t>
  </si>
  <si>
    <t>大气</t>
  </si>
  <si>
    <t>排污费安排的支出</t>
  </si>
  <si>
    <t>其他污染防治支出</t>
  </si>
  <si>
    <t>住房公积金</t>
  </si>
  <si>
    <t>其他支出</t>
  </si>
  <si>
    <t>其他一般公共服务支出</t>
  </si>
  <si>
    <t>归口管理的行政单位离退休</t>
  </si>
  <si>
    <t>企业关闭破产补助</t>
  </si>
  <si>
    <t>其他社会保障和就业支出</t>
  </si>
  <si>
    <t>行政运行</t>
  </si>
  <si>
    <t>环境保护宣传</t>
  </si>
  <si>
    <t>大气</t>
  </si>
  <si>
    <t>排污费安排的支出</t>
  </si>
  <si>
    <t>其他污染防治支出</t>
  </si>
  <si>
    <t>住房公积金</t>
  </si>
  <si>
    <t>其他支出</t>
  </si>
  <si>
    <t xml:space="preserve">  归口管理的行政单位离退休</t>
  </si>
  <si>
    <t xml:space="preserve">  其他社会保障和就业支出</t>
  </si>
  <si>
    <t>其他一般公共服务支出</t>
  </si>
  <si>
    <t>归口管理的行政单位离退休</t>
  </si>
  <si>
    <t>企业关闭破产补助</t>
  </si>
  <si>
    <t>其他社会保障和就业支出</t>
  </si>
  <si>
    <t>行政运行</t>
  </si>
  <si>
    <t>环境保护宣传</t>
  </si>
  <si>
    <t>大气</t>
  </si>
  <si>
    <t>排污费安排的支出</t>
  </si>
  <si>
    <t>其他污染防治支出</t>
  </si>
  <si>
    <t>住房公积金</t>
  </si>
  <si>
    <t>其他支出</t>
  </si>
  <si>
    <t>其他一般公共服务支出</t>
  </si>
  <si>
    <t>归口管理的行政单位离退休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</si>
</sst>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</numFmts>
  <fonts count="17">
    <font>
      <sz val="12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9"/>
      <color indexed="8"/>
      <name val="Arial"/>
      <family val="2"/>
    </font>
    <font>
      <b/>
      <sz val="9"/>
      <color indexed="8"/>
      <name val="宋体"/>
      <family val="0"/>
    </font>
    <font>
      <sz val="16"/>
      <color indexed="8"/>
      <name val="宋体"/>
      <family val="0"/>
    </font>
    <font>
      <sz val="22"/>
      <color indexed="8"/>
      <name val="宋体"/>
      <family val="0"/>
    </font>
    <font>
      <b/>
      <sz val="14"/>
      <color indexed="8"/>
      <name val="宋体"/>
      <family val="0"/>
    </font>
    <font>
      <b/>
      <sz val="16"/>
      <color indexed="8"/>
      <name val="宋体"/>
      <family val="0"/>
    </font>
    <font>
      <b/>
      <sz val="16"/>
      <color indexed="8"/>
      <name val="Arial"/>
      <family val="2"/>
    </font>
    <font>
      <b/>
      <sz val="18"/>
      <color indexed="8"/>
      <name val="宋体"/>
      <family val="0"/>
    </font>
    <font>
      <b/>
      <sz val="18"/>
      <color indexed="8"/>
      <name val="Arial"/>
      <family val="2"/>
    </font>
    <font>
      <sz val="9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</borders>
  <cellStyleXfs count="2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3">
    <xf numFmtId="0" fontId="0" fillId="0" borderId="0" xfId="0" applyAlignment="1">
      <alignment vertical="center"/>
    </xf>
    <xf numFmtId="0" fontId="2" fillId="0" borderId="0" xfId="16" applyFont="1" applyAlignment="1">
      <alignment horizontal="right"/>
      <protection/>
    </xf>
    <xf numFmtId="0" fontId="2" fillId="0" borderId="0" xfId="16" applyFont="1" applyAlignment="1">
      <alignment horizontal="center"/>
      <protection/>
    </xf>
    <xf numFmtId="0" fontId="2" fillId="0" borderId="0" xfId="16" applyFont="1">
      <alignment/>
      <protection/>
    </xf>
    <xf numFmtId="0" fontId="1" fillId="0" borderId="0" xfId="17">
      <alignment/>
      <protection/>
    </xf>
    <xf numFmtId="0" fontId="4" fillId="0" borderId="0" xfId="17" applyFont="1" applyAlignment="1">
      <alignment horizontal="center"/>
      <protection/>
    </xf>
    <xf numFmtId="0" fontId="4" fillId="0" borderId="0" xfId="17" applyFont="1" applyAlignment="1">
      <alignment horizontal="right"/>
      <protection/>
    </xf>
    <xf numFmtId="0" fontId="4" fillId="0" borderId="0" xfId="17" applyFont="1">
      <alignment/>
      <protection/>
    </xf>
    <xf numFmtId="0" fontId="5" fillId="2" borderId="1" xfId="17" applyFont="1" applyFill="1" applyBorder="1" applyAlignment="1">
      <alignment horizontal="center" vertical="center" wrapText="1" shrinkToFit="1"/>
      <protection/>
    </xf>
    <xf numFmtId="0" fontId="5" fillId="2" borderId="1" xfId="17" applyFont="1" applyFill="1" applyBorder="1" applyAlignment="1">
      <alignment horizontal="center" vertical="center" shrinkToFit="1"/>
      <protection/>
    </xf>
    <xf numFmtId="0" fontId="1" fillId="0" borderId="0" xfId="18">
      <alignment/>
      <protection/>
    </xf>
    <xf numFmtId="0" fontId="4" fillId="0" borderId="0" xfId="18" applyFont="1" applyAlignment="1">
      <alignment horizontal="center"/>
      <protection/>
    </xf>
    <xf numFmtId="0" fontId="4" fillId="0" borderId="0" xfId="18" applyFont="1" applyAlignment="1">
      <alignment horizontal="right"/>
      <protection/>
    </xf>
    <xf numFmtId="0" fontId="4" fillId="0" borderId="0" xfId="18" applyFont="1">
      <alignment/>
      <protection/>
    </xf>
    <xf numFmtId="0" fontId="5" fillId="2" borderId="1" xfId="18" applyFont="1" applyFill="1" applyBorder="1" applyAlignment="1">
      <alignment horizontal="center" vertical="center" wrapText="1" shrinkToFit="1"/>
      <protection/>
    </xf>
    <xf numFmtId="0" fontId="5" fillId="2" borderId="1" xfId="18" applyFont="1" applyFill="1" applyBorder="1" applyAlignment="1">
      <alignment horizontal="center" vertical="center" shrinkToFit="1"/>
      <protection/>
    </xf>
    <xf numFmtId="0" fontId="5" fillId="2" borderId="2" xfId="18" applyFont="1" applyFill="1" applyBorder="1" applyAlignment="1">
      <alignment horizontal="center" vertical="center" wrapText="1" shrinkToFit="1"/>
      <protection/>
    </xf>
    <xf numFmtId="0" fontId="2" fillId="0" borderId="0" xfId="17" applyFont="1" applyAlignment="1">
      <alignment horizontal="right"/>
      <protection/>
    </xf>
    <xf numFmtId="0" fontId="6" fillId="0" borderId="0" xfId="19" applyFont="1" applyAlignment="1">
      <alignment horizontal="right"/>
      <protection/>
    </xf>
    <xf numFmtId="0" fontId="7" fillId="0" borderId="0" xfId="19" applyFont="1">
      <alignment/>
      <protection/>
    </xf>
    <xf numFmtId="0" fontId="6" fillId="0" borderId="0" xfId="19" applyFont="1" applyAlignment="1">
      <alignment horizontal="center"/>
      <protection/>
    </xf>
    <xf numFmtId="0" fontId="6" fillId="0" borderId="0" xfId="19" applyFont="1">
      <alignment/>
      <protection/>
    </xf>
    <xf numFmtId="0" fontId="8" fillId="2" borderId="3" xfId="19" applyFont="1" applyFill="1" applyBorder="1" applyAlignment="1">
      <alignment vertical="center"/>
      <protection/>
    </xf>
    <xf numFmtId="0" fontId="6" fillId="2" borderId="3" xfId="19" applyFont="1" applyFill="1" applyBorder="1" applyAlignment="1">
      <alignment horizontal="center" vertical="center"/>
      <protection/>
    </xf>
    <xf numFmtId="4" fontId="6" fillId="0" borderId="3" xfId="19" applyNumberFormat="1" applyFont="1" applyBorder="1" applyAlignment="1">
      <alignment horizontal="right" vertical="center" shrinkToFit="1"/>
      <protection/>
    </xf>
    <xf numFmtId="0" fontId="8" fillId="2" borderId="3" xfId="19" applyFont="1" applyFill="1" applyBorder="1" applyAlignment="1">
      <alignment horizontal="center" vertical="center"/>
      <protection/>
    </xf>
    <xf numFmtId="0" fontId="6" fillId="2" borderId="3" xfId="19" applyFont="1" applyFill="1" applyBorder="1" applyAlignment="1">
      <alignment vertical="center"/>
      <protection/>
    </xf>
    <xf numFmtId="0" fontId="6" fillId="0" borderId="3" xfId="19" applyFont="1" applyBorder="1" applyAlignment="1">
      <alignment horizontal="right" vertical="center" shrinkToFit="1"/>
      <protection/>
    </xf>
    <xf numFmtId="0" fontId="6" fillId="2" borderId="3" xfId="19" applyFont="1" applyFill="1" applyBorder="1" applyAlignment="1">
      <alignment horizontal="left" vertical="center"/>
      <protection/>
    </xf>
    <xf numFmtId="0" fontId="6" fillId="2" borderId="3" xfId="19" applyFont="1" applyFill="1" applyBorder="1" applyAlignment="1">
      <alignment horizontal="left" vertical="center" shrinkToFit="1"/>
      <protection/>
    </xf>
    <xf numFmtId="0" fontId="6" fillId="2" borderId="3" xfId="19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4" fillId="0" borderId="0" xfId="20" applyFont="1">
      <alignment/>
      <protection/>
    </xf>
    <xf numFmtId="0" fontId="4" fillId="0" borderId="1" xfId="20" applyFont="1" applyBorder="1" applyAlignment="1">
      <alignment horizontal="right" vertical="center" shrinkToFit="1"/>
      <protection/>
    </xf>
    <xf numFmtId="0" fontId="4" fillId="2" borderId="1" xfId="20" applyFont="1" applyFill="1" applyBorder="1" applyAlignment="1">
      <alignment horizontal="center" vertical="center" wrapText="1" shrinkToFit="1"/>
      <protection/>
    </xf>
    <xf numFmtId="0" fontId="2" fillId="0" borderId="0" xfId="20" applyFont="1" applyAlignment="1">
      <alignment horizontal="right"/>
      <protection/>
    </xf>
    <xf numFmtId="0" fontId="6" fillId="2" borderId="1" xfId="21" applyFont="1" applyFill="1" applyBorder="1" applyAlignment="1">
      <alignment horizontal="center" vertical="center" wrapText="1" shrinkToFit="1"/>
      <protection/>
    </xf>
    <xf numFmtId="0" fontId="6" fillId="2" borderId="2" xfId="21" applyFont="1" applyFill="1" applyBorder="1" applyAlignment="1">
      <alignment horizontal="center" vertical="center" wrapText="1" shrinkToFit="1"/>
      <protection/>
    </xf>
    <xf numFmtId="0" fontId="7" fillId="0" borderId="0" xfId="21" applyFont="1">
      <alignment/>
      <protection/>
    </xf>
    <xf numFmtId="0" fontId="6" fillId="0" borderId="0" xfId="21" applyFont="1" applyAlignment="1">
      <alignment horizontal="center"/>
      <protection/>
    </xf>
    <xf numFmtId="0" fontId="6" fillId="0" borderId="4" xfId="21" applyFont="1" applyBorder="1" applyAlignment="1">
      <alignment horizontal="center" vertical="center" shrinkToFit="1"/>
      <protection/>
    </xf>
    <xf numFmtId="0" fontId="6" fillId="0" borderId="5" xfId="21" applyFont="1" applyBorder="1" applyAlignment="1">
      <alignment horizontal="center" vertical="center" shrinkToFit="1"/>
      <protection/>
    </xf>
    <xf numFmtId="0" fontId="6" fillId="2" borderId="5" xfId="21" applyFont="1" applyFill="1" applyBorder="1" applyAlignment="1">
      <alignment horizontal="center" vertical="center" wrapText="1" shrinkToFit="1"/>
      <protection/>
    </xf>
    <xf numFmtId="0" fontId="0" fillId="0" borderId="3" xfId="0" applyBorder="1" applyAlignment="1">
      <alignment vertical="center"/>
    </xf>
    <xf numFmtId="0" fontId="1" fillId="0" borderId="0" xfId="21" applyFont="1" applyAlignment="1">
      <alignment/>
      <protection/>
    </xf>
    <xf numFmtId="0" fontId="2" fillId="0" borderId="0" xfId="21" applyFont="1" applyAlignment="1">
      <alignment/>
      <protection/>
    </xf>
    <xf numFmtId="0" fontId="1" fillId="0" borderId="0" xfId="22">
      <alignment/>
      <protection/>
    </xf>
    <xf numFmtId="0" fontId="4" fillId="0" borderId="0" xfId="22" applyFont="1" applyAlignment="1">
      <alignment horizontal="center"/>
      <protection/>
    </xf>
    <xf numFmtId="0" fontId="4" fillId="0" borderId="0" xfId="22" applyFont="1" applyAlignment="1">
      <alignment horizontal="right"/>
      <protection/>
    </xf>
    <xf numFmtId="0" fontId="4" fillId="0" borderId="0" xfId="22" applyFont="1">
      <alignment/>
      <protection/>
    </xf>
    <xf numFmtId="0" fontId="5" fillId="2" borderId="6" xfId="22" applyFont="1" applyFill="1" applyBorder="1" applyAlignment="1">
      <alignment horizontal="center" vertical="center" shrinkToFit="1"/>
      <protection/>
    </xf>
    <xf numFmtId="0" fontId="5" fillId="2" borderId="7" xfId="22" applyFont="1" applyFill="1" applyBorder="1" applyAlignment="1">
      <alignment horizontal="center" vertical="center" shrinkToFit="1"/>
      <protection/>
    </xf>
    <xf numFmtId="0" fontId="5" fillId="2" borderId="8" xfId="22" applyFont="1" applyFill="1" applyBorder="1" applyAlignment="1">
      <alignment horizontal="center" vertical="center" shrinkToFit="1"/>
      <protection/>
    </xf>
    <xf numFmtId="0" fontId="5" fillId="2" borderId="9" xfId="22" applyFont="1" applyFill="1" applyBorder="1" applyAlignment="1">
      <alignment horizontal="center" vertical="center" shrinkToFit="1"/>
      <protection/>
    </xf>
    <xf numFmtId="0" fontId="5" fillId="2" borderId="1" xfId="22" applyFont="1" applyFill="1" applyBorder="1" applyAlignment="1">
      <alignment horizontal="center" vertical="center" shrinkToFit="1"/>
      <protection/>
    </xf>
    <xf numFmtId="0" fontId="5" fillId="2" borderId="2" xfId="22" applyFont="1" applyFill="1" applyBorder="1" applyAlignment="1">
      <alignment horizontal="center" vertical="center" shrinkToFit="1"/>
      <protection/>
    </xf>
    <xf numFmtId="0" fontId="5" fillId="2" borderId="9" xfId="22" applyFont="1" applyFill="1" applyBorder="1" applyAlignment="1">
      <alignment horizontal="left" vertical="center" shrinkToFit="1"/>
      <protection/>
    </xf>
    <xf numFmtId="0" fontId="5" fillId="2" borderId="1" xfId="22" applyFont="1" applyFill="1" applyBorder="1" applyAlignment="1">
      <alignment horizontal="left" vertical="center" shrinkToFit="1"/>
      <protection/>
    </xf>
    <xf numFmtId="3" fontId="5" fillId="0" borderId="2" xfId="22" applyNumberFormat="1" applyFont="1" applyBorder="1" applyAlignment="1">
      <alignment horizontal="right" vertical="center" shrinkToFit="1"/>
      <protection/>
    </xf>
    <xf numFmtId="0" fontId="5" fillId="0" borderId="2" xfId="22" applyFont="1" applyBorder="1" applyAlignment="1">
      <alignment horizontal="left" vertical="center" shrinkToFit="1"/>
      <protection/>
    </xf>
    <xf numFmtId="0" fontId="5" fillId="2" borderId="10" xfId="22" applyFont="1" applyFill="1" applyBorder="1" applyAlignment="1">
      <alignment horizontal="left" vertical="center" shrinkToFit="1"/>
      <protection/>
    </xf>
    <xf numFmtId="0" fontId="5" fillId="2" borderId="11" xfId="22" applyFont="1" applyFill="1" applyBorder="1" applyAlignment="1">
      <alignment horizontal="center" vertical="center" shrinkToFit="1"/>
      <protection/>
    </xf>
    <xf numFmtId="0" fontId="5" fillId="2" borderId="11" xfId="22" applyFont="1" applyFill="1" applyBorder="1" applyAlignment="1">
      <alignment horizontal="left" vertical="center" shrinkToFit="1"/>
      <protection/>
    </xf>
    <xf numFmtId="0" fontId="5" fillId="0" borderId="12" xfId="22" applyFont="1" applyBorder="1" applyAlignment="1">
      <alignment horizontal="left" vertical="center" shrinkToFit="1"/>
      <protection/>
    </xf>
    <xf numFmtId="0" fontId="1" fillId="0" borderId="0" xfId="23">
      <alignment/>
      <protection/>
    </xf>
    <xf numFmtId="0" fontId="4" fillId="0" borderId="0" xfId="23" applyFont="1">
      <alignment/>
      <protection/>
    </xf>
    <xf numFmtId="0" fontId="5" fillId="2" borderId="3" xfId="23" applyFont="1" applyFill="1" applyBorder="1" applyAlignment="1">
      <alignment horizontal="center" vertical="center" wrapText="1" shrinkToFit="1"/>
      <protection/>
    </xf>
    <xf numFmtId="0" fontId="1" fillId="0" borderId="0" xfId="23" applyBorder="1">
      <alignment/>
      <protection/>
    </xf>
    <xf numFmtId="0" fontId="2" fillId="0" borderId="0" xfId="23" applyFont="1" applyBorder="1" applyAlignment="1">
      <alignment horizontal="right"/>
      <protection/>
    </xf>
    <xf numFmtId="0" fontId="1" fillId="0" borderId="0" xfId="24" applyFill="1" applyAlignment="1">
      <alignment horizontal="left"/>
      <protection/>
    </xf>
    <xf numFmtId="0" fontId="1" fillId="0" borderId="0" xfId="24" applyFill="1">
      <alignment/>
      <protection/>
    </xf>
    <xf numFmtId="0" fontId="2" fillId="0" borderId="0" xfId="24" applyFont="1" applyFill="1" applyAlignment="1">
      <alignment horizontal="right"/>
      <protection/>
    </xf>
    <xf numFmtId="0" fontId="5" fillId="0" borderId="1" xfId="24" applyFont="1" applyFill="1" applyBorder="1" applyAlignment="1">
      <alignment horizontal="center" vertical="center" wrapText="1" shrinkToFit="1"/>
      <protection/>
    </xf>
    <xf numFmtId="0" fontId="5" fillId="0" borderId="1" xfId="24" applyFont="1" applyFill="1" applyBorder="1" applyAlignment="1">
      <alignment horizontal="center" vertical="center" shrinkToFit="1"/>
      <protection/>
    </xf>
    <xf numFmtId="0" fontId="5" fillId="0" borderId="5" xfId="24" applyFont="1" applyFill="1" applyBorder="1" applyAlignment="1">
      <alignment horizontal="center" vertical="center" wrapText="1" shrinkToFit="1"/>
      <protection/>
    </xf>
    <xf numFmtId="0" fontId="5" fillId="2" borderId="1" xfId="24" applyFont="1" applyFill="1" applyBorder="1" applyAlignment="1">
      <alignment horizontal="center" vertical="center" wrapText="1" shrinkToFit="1"/>
      <protection/>
    </xf>
    <xf numFmtId="0" fontId="5" fillId="0" borderId="1" xfId="18" applyFont="1" applyFill="1" applyBorder="1" applyAlignment="1">
      <alignment horizontal="center" vertical="center" shrinkToFit="1"/>
      <protection/>
    </xf>
    <xf numFmtId="0" fontId="1" fillId="0" borderId="0" xfId="20" applyBorder="1">
      <alignment/>
      <protection/>
    </xf>
    <xf numFmtId="0" fontId="5" fillId="2" borderId="13" xfId="24" applyFont="1" applyFill="1" applyBorder="1" applyAlignment="1">
      <alignment horizontal="center" vertical="center" wrapText="1" shrinkToFit="1"/>
      <protection/>
    </xf>
    <xf numFmtId="0" fontId="5" fillId="2" borderId="13" xfId="18" applyFont="1" applyFill="1" applyBorder="1" applyAlignment="1">
      <alignment horizontal="center" vertical="center" shrinkToFit="1"/>
      <protection/>
    </xf>
    <xf numFmtId="0" fontId="5" fillId="2" borderId="3" xfId="24" applyFont="1" applyFill="1" applyBorder="1" applyAlignment="1">
      <alignment vertical="center" wrapText="1" shrinkToFit="1"/>
      <protection/>
    </xf>
    <xf numFmtId="0" fontId="1" fillId="0" borderId="0" xfId="17" applyFont="1">
      <alignment/>
      <protection/>
    </xf>
    <xf numFmtId="0" fontId="1" fillId="0" borderId="0" xfId="18" applyFont="1">
      <alignment/>
      <protection/>
    </xf>
    <xf numFmtId="0" fontId="2" fillId="2" borderId="3" xfId="16" applyFont="1" applyFill="1" applyBorder="1" applyAlignment="1">
      <alignment horizontal="center" vertical="center" shrinkToFit="1"/>
      <protection/>
    </xf>
    <xf numFmtId="0" fontId="2" fillId="2" borderId="3" xfId="16" applyFont="1" applyFill="1" applyBorder="1" applyAlignment="1">
      <alignment horizontal="left" vertical="center" shrinkToFit="1"/>
      <protection/>
    </xf>
    <xf numFmtId="0" fontId="2" fillId="2" borderId="3" xfId="16" applyFont="1" applyFill="1" applyBorder="1" applyAlignment="1">
      <alignment horizontal="left" vertical="center"/>
      <protection/>
    </xf>
    <xf numFmtId="0" fontId="3" fillId="2" borderId="3" xfId="16" applyFont="1" applyFill="1" applyBorder="1" applyAlignment="1">
      <alignment horizontal="center" vertical="center" shrinkToFit="1"/>
      <protection/>
    </xf>
    <xf numFmtId="0" fontId="5" fillId="2" borderId="14" xfId="17" applyFont="1" applyFill="1" applyBorder="1" applyAlignment="1">
      <alignment horizontal="center" vertical="center" shrinkToFit="1"/>
      <protection/>
    </xf>
    <xf numFmtId="0" fontId="0" fillId="0" borderId="0" xfId="0" applyAlignment="1">
      <alignment horizontal="center" vertical="center"/>
    </xf>
    <xf numFmtId="0" fontId="5" fillId="2" borderId="14" xfId="18" applyFont="1" applyFill="1" applyBorder="1" applyAlignment="1">
      <alignment horizontal="center" vertical="center" shrinkToFit="1"/>
      <protection/>
    </xf>
    <xf numFmtId="4" fontId="5" fillId="0" borderId="14" xfId="18" applyNumberFormat="1" applyFont="1" applyBorder="1" applyAlignment="1">
      <alignment horizontal="right" vertical="center" shrinkToFit="1"/>
      <protection/>
    </xf>
    <xf numFmtId="4" fontId="5" fillId="0" borderId="15" xfId="18" applyNumberFormat="1" applyFont="1" applyBorder="1" applyAlignment="1">
      <alignment horizontal="right" vertical="center" shrinkToFit="1"/>
      <protection/>
    </xf>
    <xf numFmtId="0" fontId="1" fillId="0" borderId="0" xfId="18" applyAlignment="1">
      <alignment horizontal="center"/>
      <protection/>
    </xf>
    <xf numFmtId="0" fontId="7" fillId="0" borderId="0" xfId="19" applyFont="1" applyAlignment="1">
      <alignment horizontal="center"/>
      <protection/>
    </xf>
    <xf numFmtId="0" fontId="1" fillId="0" borderId="0" xfId="21" applyFont="1" applyAlignment="1">
      <alignment wrapText="1"/>
      <protection/>
    </xf>
    <xf numFmtId="0" fontId="0" fillId="0" borderId="0" xfId="0" applyAlignment="1">
      <alignment vertical="center" wrapText="1"/>
    </xf>
    <xf numFmtId="0" fontId="16" fillId="0" borderId="0" xfId="0" applyFont="1" applyAlignment="1">
      <alignment vertical="center"/>
    </xf>
    <xf numFmtId="0" fontId="16" fillId="0" borderId="0" xfId="0" applyFont="1" applyAlignment="1">
      <alignment vertical="center" wrapText="1"/>
    </xf>
    <xf numFmtId="4" fontId="6" fillId="0" borderId="3" xfId="23" applyNumberFormat="1" applyFont="1" applyBorder="1" applyAlignment="1">
      <alignment horizontal="right" vertical="center" shrinkToFit="1"/>
      <protection/>
    </xf>
    <xf numFmtId="0" fontId="16" fillId="0" borderId="3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center" vertical="center"/>
    </xf>
    <xf numFmtId="0" fontId="16" fillId="0" borderId="3" xfId="0" applyFont="1" applyBorder="1" applyAlignment="1">
      <alignment horizontal="left" vertical="center"/>
    </xf>
    <xf numFmtId="0" fontId="6" fillId="0" borderId="3" xfId="18" applyFont="1" applyBorder="1" applyAlignment="1">
      <alignment horizontal="left" vertical="center" shrinkToFit="1"/>
      <protection/>
    </xf>
    <xf numFmtId="4" fontId="6" fillId="0" borderId="3" xfId="16" applyNumberFormat="1" applyFont="1" applyBorder="1" applyAlignment="1">
      <alignment horizontal="right" vertical="center" shrinkToFit="1"/>
      <protection/>
    </xf>
    <xf numFmtId="0" fontId="6" fillId="0" borderId="3" xfId="16" applyFont="1" applyBorder="1" applyAlignment="1">
      <alignment horizontal="right" vertical="center" shrinkToFit="1"/>
      <protection/>
    </xf>
    <xf numFmtId="0" fontId="16" fillId="0" borderId="3" xfId="0" applyFont="1" applyBorder="1" applyAlignment="1">
      <alignment horizontal="right" vertical="center"/>
    </xf>
    <xf numFmtId="0" fontId="6" fillId="0" borderId="3" xfId="17" applyFont="1" applyBorder="1" applyAlignment="1">
      <alignment horizontal="left" vertical="center" shrinkToFit="1"/>
      <protection/>
    </xf>
    <xf numFmtId="4" fontId="6" fillId="0" borderId="14" xfId="17" applyNumberFormat="1" applyFont="1" applyBorder="1" applyAlignment="1">
      <alignment horizontal="right" vertical="center" shrinkToFit="1"/>
      <protection/>
    </xf>
    <xf numFmtId="4" fontId="5" fillId="0" borderId="14" xfId="17" applyNumberFormat="1" applyFont="1" applyBorder="1" applyAlignment="1">
      <alignment horizontal="right" vertical="center" shrinkToFit="1"/>
      <protection/>
    </xf>
    <xf numFmtId="4" fontId="6" fillId="0" borderId="3" xfId="17" applyNumberFormat="1" applyFont="1" applyBorder="1" applyAlignment="1">
      <alignment horizontal="right" vertical="center" shrinkToFit="1"/>
      <protection/>
    </xf>
    <xf numFmtId="0" fontId="6" fillId="0" borderId="3" xfId="17" applyFont="1" applyBorder="1" applyAlignment="1">
      <alignment horizontal="right" vertical="center" shrinkToFit="1"/>
      <protection/>
    </xf>
    <xf numFmtId="4" fontId="16" fillId="0" borderId="3" xfId="0" applyNumberFormat="1" applyFont="1" applyBorder="1" applyAlignment="1">
      <alignment horizontal="right" vertical="center"/>
    </xf>
    <xf numFmtId="0" fontId="6" fillId="0" borderId="3" xfId="18" applyFont="1" applyBorder="1" applyAlignment="1">
      <alignment horizontal="right" vertical="center" shrinkToFit="1"/>
      <protection/>
    </xf>
    <xf numFmtId="0" fontId="16" fillId="0" borderId="3" xfId="0" applyFont="1" applyBorder="1" applyAlignment="1">
      <alignment vertical="center"/>
    </xf>
    <xf numFmtId="4" fontId="6" fillId="0" borderId="3" xfId="18" applyNumberFormat="1" applyFont="1" applyBorder="1" applyAlignment="1">
      <alignment horizontal="left" vertical="center" shrinkToFit="1"/>
      <protection/>
    </xf>
    <xf numFmtId="4" fontId="6" fillId="0" borderId="14" xfId="18" applyNumberFormat="1" applyFont="1" applyBorder="1" applyAlignment="1">
      <alignment horizontal="right" vertical="center" shrinkToFit="1"/>
      <protection/>
    </xf>
    <xf numFmtId="4" fontId="6" fillId="0" borderId="3" xfId="18" applyNumberFormat="1" applyFont="1" applyBorder="1" applyAlignment="1">
      <alignment horizontal="right" vertical="center" shrinkToFit="1"/>
      <protection/>
    </xf>
    <xf numFmtId="4" fontId="8" fillId="0" borderId="3" xfId="19" applyNumberFormat="1" applyFont="1" applyBorder="1" applyAlignment="1">
      <alignment horizontal="right" vertical="center" shrinkToFit="1"/>
      <protection/>
    </xf>
    <xf numFmtId="0" fontId="0" fillId="0" borderId="0" xfId="0" applyAlignment="1">
      <alignment horizontal="right" vertical="center"/>
    </xf>
    <xf numFmtId="4" fontId="8" fillId="2" borderId="3" xfId="19" applyNumberFormat="1" applyFont="1" applyFill="1" applyBorder="1" applyAlignment="1">
      <alignment horizontal="right" vertical="center"/>
      <protection/>
    </xf>
    <xf numFmtId="0" fontId="6" fillId="2" borderId="3" xfId="19" applyFont="1" applyFill="1" applyBorder="1" applyAlignment="1">
      <alignment horizontal="right" vertical="center"/>
      <protection/>
    </xf>
    <xf numFmtId="4" fontId="6" fillId="2" borderId="3" xfId="19" applyNumberFormat="1" applyFont="1" applyFill="1" applyBorder="1" applyAlignment="1">
      <alignment horizontal="right" vertical="center"/>
      <protection/>
    </xf>
    <xf numFmtId="0" fontId="6" fillId="0" borderId="1" xfId="20" applyFont="1" applyBorder="1" applyAlignment="1">
      <alignment horizontal="left" vertical="center" shrinkToFit="1"/>
      <protection/>
    </xf>
    <xf numFmtId="0" fontId="6" fillId="0" borderId="1" xfId="20" applyFont="1" applyBorder="1" applyAlignment="1">
      <alignment horizontal="right" vertical="center" shrinkToFit="1"/>
      <protection/>
    </xf>
    <xf numFmtId="0" fontId="6" fillId="0" borderId="14" xfId="20" applyFont="1" applyBorder="1" applyAlignment="1">
      <alignment horizontal="left" vertical="center" shrinkToFit="1"/>
      <protection/>
    </xf>
    <xf numFmtId="0" fontId="6" fillId="0" borderId="3" xfId="20" applyFont="1" applyBorder="1" applyAlignment="1">
      <alignment horizontal="left" vertical="center" shrinkToFit="1"/>
      <protection/>
    </xf>
    <xf numFmtId="4" fontId="6" fillId="0" borderId="1" xfId="20" applyNumberFormat="1" applyFont="1" applyBorder="1" applyAlignment="1">
      <alignment horizontal="right" vertical="center" shrinkToFit="1"/>
      <protection/>
    </xf>
    <xf numFmtId="0" fontId="6" fillId="0" borderId="14" xfId="20" applyFont="1" applyBorder="1" applyAlignment="1">
      <alignment horizontal="right" vertical="center" shrinkToFit="1"/>
      <protection/>
    </xf>
    <xf numFmtId="0" fontId="6" fillId="0" borderId="3" xfId="20" applyFont="1" applyBorder="1" applyAlignment="1">
      <alignment horizontal="right" vertical="center" shrinkToFit="1"/>
      <protection/>
    </xf>
    <xf numFmtId="4" fontId="6" fillId="0" borderId="3" xfId="20" applyNumberFormat="1" applyFont="1" applyBorder="1" applyAlignment="1">
      <alignment horizontal="right" vertical="center" shrinkToFit="1"/>
      <protection/>
    </xf>
    <xf numFmtId="4" fontId="6" fillId="0" borderId="3" xfId="18" applyNumberFormat="1" applyFont="1" applyFill="1" applyBorder="1" applyAlignment="1">
      <alignment horizontal="right" vertical="center" shrinkToFit="1"/>
      <protection/>
    </xf>
    <xf numFmtId="4" fontId="6" fillId="0" borderId="1" xfId="18" applyNumberFormat="1" applyFont="1" applyFill="1" applyBorder="1" applyAlignment="1">
      <alignment horizontal="right" vertical="center" shrinkToFit="1"/>
      <protection/>
    </xf>
    <xf numFmtId="0" fontId="0" fillId="0" borderId="0" xfId="0" applyAlignment="1">
      <alignment horizontal="left" vertical="center"/>
    </xf>
    <xf numFmtId="4" fontId="6" fillId="0" borderId="5" xfId="21" applyNumberFormat="1" applyFont="1" applyBorder="1" applyAlignment="1">
      <alignment vertical="center" shrinkToFit="1"/>
      <protection/>
    </xf>
    <xf numFmtId="0" fontId="6" fillId="0" borderId="5" xfId="21" applyFont="1" applyBorder="1" applyAlignment="1">
      <alignment vertical="center" shrinkToFit="1"/>
      <protection/>
    </xf>
    <xf numFmtId="4" fontId="16" fillId="0" borderId="3" xfId="0" applyNumberFormat="1" applyFont="1" applyBorder="1" applyAlignment="1">
      <alignment vertical="center"/>
    </xf>
    <xf numFmtId="0" fontId="7" fillId="0" borderId="0" xfId="21" applyFont="1" applyAlignment="1">
      <alignment horizontal="center"/>
      <protection/>
    </xf>
    <xf numFmtId="0" fontId="16" fillId="0" borderId="0" xfId="0" applyFont="1" applyAlignment="1">
      <alignment horizontal="center" vertical="center"/>
    </xf>
    <xf numFmtId="0" fontId="6" fillId="0" borderId="1" xfId="22" applyFont="1" applyBorder="1" applyAlignment="1">
      <alignment horizontal="center" vertical="center" shrinkToFit="1"/>
      <protection/>
    </xf>
    <xf numFmtId="4" fontId="6" fillId="0" borderId="1" xfId="22" applyNumberFormat="1" applyFont="1" applyBorder="1" applyAlignment="1">
      <alignment horizontal="right" vertical="center" shrinkToFit="1"/>
      <protection/>
    </xf>
    <xf numFmtId="3" fontId="6" fillId="0" borderId="1" xfId="22" applyNumberFormat="1" applyFont="1" applyBorder="1" applyAlignment="1">
      <alignment horizontal="right" vertical="center" shrinkToFit="1"/>
      <protection/>
    </xf>
    <xf numFmtId="3" fontId="6" fillId="0" borderId="11" xfId="22" applyNumberFormat="1" applyFont="1" applyBorder="1" applyAlignment="1">
      <alignment horizontal="right" vertical="center" shrinkToFit="1"/>
      <protection/>
    </xf>
    <xf numFmtId="4" fontId="6" fillId="0" borderId="2" xfId="22" applyNumberFormat="1" applyFont="1" applyBorder="1" applyAlignment="1">
      <alignment horizontal="right" vertical="center" shrinkToFit="1"/>
      <protection/>
    </xf>
    <xf numFmtId="0" fontId="6" fillId="0" borderId="2" xfId="22" applyFont="1" applyBorder="1" applyAlignment="1">
      <alignment horizontal="center" vertical="center" shrinkToFit="1"/>
      <protection/>
    </xf>
    <xf numFmtId="3" fontId="6" fillId="0" borderId="2" xfId="22" applyNumberFormat="1" applyFont="1" applyBorder="1" applyAlignment="1">
      <alignment horizontal="right" vertical="center" shrinkToFit="1"/>
      <protection/>
    </xf>
    <xf numFmtId="0" fontId="6" fillId="0" borderId="2" xfId="22" applyFont="1" applyBorder="1" applyAlignment="1">
      <alignment horizontal="right" vertical="center" shrinkToFit="1"/>
      <protection/>
    </xf>
    <xf numFmtId="4" fontId="6" fillId="0" borderId="3" xfId="23" applyNumberFormat="1" applyFont="1" applyBorder="1" applyAlignment="1">
      <alignment vertical="center" shrinkToFit="1"/>
      <protection/>
    </xf>
    <xf numFmtId="0" fontId="10" fillId="0" borderId="0" xfId="18" applyFont="1" applyAlignment="1">
      <alignment horizontal="center"/>
      <protection/>
    </xf>
    <xf numFmtId="0" fontId="5" fillId="2" borderId="6" xfId="18" applyFont="1" applyFill="1" applyBorder="1" applyAlignment="1">
      <alignment horizontal="center" vertical="center" shrinkToFit="1"/>
      <protection/>
    </xf>
    <xf numFmtId="0" fontId="5" fillId="2" borderId="7" xfId="18" applyFont="1" applyFill="1" applyBorder="1" applyAlignment="1">
      <alignment horizontal="center" vertical="center" shrinkToFit="1"/>
      <protection/>
    </xf>
    <xf numFmtId="0" fontId="5" fillId="2" borderId="7" xfId="18" applyFont="1" applyFill="1" applyBorder="1" applyAlignment="1">
      <alignment horizontal="center" vertical="center" wrapText="1" shrinkToFit="1"/>
      <protection/>
    </xf>
    <xf numFmtId="0" fontId="16" fillId="0" borderId="3" xfId="0" applyFont="1" applyBorder="1" applyAlignment="1">
      <alignment horizontal="left" vertical="center"/>
    </xf>
    <xf numFmtId="0" fontId="11" fillId="0" borderId="0" xfId="19" applyFont="1" applyAlignment="1">
      <alignment horizontal="center"/>
      <protection/>
    </xf>
    <xf numFmtId="177" fontId="5" fillId="0" borderId="14" xfId="24" applyNumberFormat="1" applyFont="1" applyFill="1" applyBorder="1" applyAlignment="1">
      <alignment horizontal="center" vertical="center" wrapText="1" shrinkToFit="1"/>
      <protection/>
    </xf>
    <xf numFmtId="0" fontId="10" fillId="0" borderId="0" xfId="17" applyFont="1" applyAlignment="1">
      <alignment horizontal="center"/>
      <protection/>
    </xf>
    <xf numFmtId="0" fontId="5" fillId="2" borderId="6" xfId="17" applyFont="1" applyFill="1" applyBorder="1" applyAlignment="1">
      <alignment horizontal="center" vertical="center" shrinkToFit="1"/>
      <protection/>
    </xf>
    <xf numFmtId="0" fontId="5" fillId="2" borderId="7" xfId="17" applyFont="1" applyFill="1" applyBorder="1" applyAlignment="1">
      <alignment horizontal="center" vertical="center" shrinkToFit="1"/>
      <protection/>
    </xf>
    <xf numFmtId="0" fontId="5" fillId="2" borderId="8" xfId="18" applyFont="1" applyFill="1" applyBorder="1" applyAlignment="1">
      <alignment horizontal="center" vertical="center" wrapText="1" shrinkToFit="1"/>
      <protection/>
    </xf>
    <xf numFmtId="0" fontId="5" fillId="2" borderId="2" xfId="18" applyFont="1" applyFill="1" applyBorder="1" applyAlignment="1">
      <alignment horizontal="center" vertical="center" wrapText="1" shrinkToFit="1"/>
      <protection/>
    </xf>
    <xf numFmtId="0" fontId="5" fillId="2" borderId="9" xfId="18" applyFont="1" applyFill="1" applyBorder="1" applyAlignment="1">
      <alignment horizontal="center" vertical="center" wrapText="1" shrinkToFit="1"/>
      <protection/>
    </xf>
    <xf numFmtId="0" fontId="5" fillId="2" borderId="1" xfId="18" applyFont="1" applyFill="1" applyBorder="1" applyAlignment="1">
      <alignment horizontal="center" vertical="center" wrapText="1" shrinkToFit="1"/>
      <protection/>
    </xf>
    <xf numFmtId="0" fontId="6" fillId="0" borderId="3" xfId="18" applyFont="1" applyBorder="1" applyAlignment="1">
      <alignment horizontal="left" vertical="center" shrinkToFit="1"/>
      <protection/>
    </xf>
    <xf numFmtId="0" fontId="5" fillId="2" borderId="9" xfId="18" applyFont="1" applyFill="1" applyBorder="1" applyAlignment="1">
      <alignment horizontal="center" vertical="center" shrinkToFit="1"/>
      <protection/>
    </xf>
    <xf numFmtId="0" fontId="5" fillId="2" borderId="16" xfId="18" applyFont="1" applyFill="1" applyBorder="1" applyAlignment="1">
      <alignment horizontal="center" vertical="center" shrinkToFit="1"/>
      <protection/>
    </xf>
    <xf numFmtId="0" fontId="5" fillId="2" borderId="1" xfId="18" applyFont="1" applyFill="1" applyBorder="1" applyAlignment="1">
      <alignment horizontal="center" vertical="center" shrinkToFit="1"/>
      <protection/>
    </xf>
    <xf numFmtId="0" fontId="5" fillId="2" borderId="14" xfId="18" applyFont="1" applyFill="1" applyBorder="1" applyAlignment="1">
      <alignment horizontal="center" vertical="center" shrinkToFit="1"/>
      <protection/>
    </xf>
    <xf numFmtId="0" fontId="2" fillId="2" borderId="3" xfId="16" applyFont="1" applyFill="1" applyBorder="1" applyAlignment="1">
      <alignment horizontal="left" vertical="center" shrinkToFit="1"/>
      <protection/>
    </xf>
    <xf numFmtId="0" fontId="3" fillId="2" borderId="3" xfId="16" applyFont="1" applyFill="1" applyBorder="1" applyAlignment="1">
      <alignment horizontal="center" vertical="center" shrinkToFit="1"/>
      <protection/>
    </xf>
    <xf numFmtId="0" fontId="9" fillId="0" borderId="0" xfId="16" applyFont="1" applyAlignment="1">
      <alignment horizontal="center"/>
      <protection/>
    </xf>
    <xf numFmtId="0" fontId="2" fillId="0" borderId="0" xfId="16" applyFont="1" applyAlignment="1">
      <alignment horizontal="left"/>
      <protection/>
    </xf>
    <xf numFmtId="0" fontId="2" fillId="2" borderId="3" xfId="16" applyFont="1" applyFill="1" applyBorder="1" applyAlignment="1">
      <alignment horizontal="center" vertical="center" shrinkToFit="1"/>
      <protection/>
    </xf>
    <xf numFmtId="0" fontId="5" fillId="2" borderId="7" xfId="17" applyFont="1" applyFill="1" applyBorder="1" applyAlignment="1">
      <alignment horizontal="center" vertical="center" wrapText="1" shrinkToFit="1"/>
      <protection/>
    </xf>
    <xf numFmtId="0" fontId="5" fillId="2" borderId="1" xfId="17" applyFont="1" applyFill="1" applyBorder="1" applyAlignment="1">
      <alignment horizontal="center" vertical="center" wrapText="1" shrinkToFit="1"/>
      <protection/>
    </xf>
    <xf numFmtId="0" fontId="5" fillId="2" borderId="9" xfId="17" applyFont="1" applyFill="1" applyBorder="1" applyAlignment="1">
      <alignment horizontal="center" vertical="center" wrapText="1" shrinkToFit="1"/>
      <protection/>
    </xf>
    <xf numFmtId="0" fontId="6" fillId="0" borderId="3" xfId="17" applyFont="1" applyBorder="1" applyAlignment="1">
      <alignment horizontal="left" vertical="center" shrinkToFit="1"/>
      <protection/>
    </xf>
    <xf numFmtId="0" fontId="5" fillId="2" borderId="9" xfId="17" applyFont="1" applyFill="1" applyBorder="1" applyAlignment="1">
      <alignment horizontal="center" vertical="center" shrinkToFit="1"/>
      <protection/>
    </xf>
    <xf numFmtId="0" fontId="5" fillId="2" borderId="16" xfId="17" applyFont="1" applyFill="1" applyBorder="1" applyAlignment="1">
      <alignment horizontal="center" vertical="center" shrinkToFit="1"/>
      <protection/>
    </xf>
    <xf numFmtId="0" fontId="5" fillId="2" borderId="1" xfId="17" applyFont="1" applyFill="1" applyBorder="1" applyAlignment="1">
      <alignment horizontal="center" vertical="center" shrinkToFit="1"/>
      <protection/>
    </xf>
    <xf numFmtId="0" fontId="5" fillId="2" borderId="14" xfId="17" applyFont="1" applyFill="1" applyBorder="1" applyAlignment="1">
      <alignment horizontal="center" vertical="center" shrinkToFit="1"/>
      <protection/>
    </xf>
    <xf numFmtId="0" fontId="6" fillId="2" borderId="3" xfId="19" applyFont="1" applyFill="1" applyBorder="1" applyAlignment="1">
      <alignment horizontal="center" vertical="center"/>
      <protection/>
    </xf>
    <xf numFmtId="0" fontId="6" fillId="2" borderId="3" xfId="19" applyFont="1" applyFill="1" applyBorder="1" applyAlignment="1">
      <alignment horizontal="center" vertical="center" wrapText="1"/>
      <protection/>
    </xf>
    <xf numFmtId="0" fontId="6" fillId="0" borderId="3" xfId="20" applyFont="1" applyBorder="1" applyAlignment="1">
      <alignment horizontal="left" vertical="center" shrinkToFit="1"/>
      <protection/>
    </xf>
    <xf numFmtId="0" fontId="4" fillId="2" borderId="17" xfId="20" applyFont="1" applyFill="1" applyBorder="1" applyAlignment="1">
      <alignment horizontal="center" vertical="center" wrapText="1" shrinkToFit="1"/>
      <protection/>
    </xf>
    <xf numFmtId="0" fontId="4" fillId="2" borderId="9" xfId="20" applyFont="1" applyFill="1" applyBorder="1" applyAlignment="1">
      <alignment horizontal="center" vertical="center" wrapText="1" shrinkToFit="1"/>
      <protection/>
    </xf>
    <xf numFmtId="0" fontId="4" fillId="2" borderId="13" xfId="20" applyFont="1" applyFill="1" applyBorder="1" applyAlignment="1">
      <alignment horizontal="center" vertical="center" wrapText="1" shrinkToFit="1"/>
      <protection/>
    </xf>
    <xf numFmtId="0" fontId="4" fillId="2" borderId="1" xfId="20" applyFont="1" applyFill="1" applyBorder="1" applyAlignment="1">
      <alignment horizontal="center" vertical="center" wrapText="1" shrinkToFit="1"/>
      <protection/>
    </xf>
    <xf numFmtId="0" fontId="6" fillId="0" borderId="18" xfId="20" applyFont="1" applyBorder="1" applyAlignment="1">
      <alignment horizontal="left" vertical="center" shrinkToFit="1"/>
      <protection/>
    </xf>
    <xf numFmtId="0" fontId="6" fillId="0" borderId="19" xfId="20" applyFont="1" applyBorder="1" applyAlignment="1">
      <alignment horizontal="left" vertical="center" shrinkToFit="1"/>
      <protection/>
    </xf>
    <xf numFmtId="0" fontId="6" fillId="0" borderId="1" xfId="20" applyFont="1" applyBorder="1" applyAlignment="1">
      <alignment horizontal="left" vertical="center" shrinkToFit="1"/>
      <protection/>
    </xf>
    <xf numFmtId="0" fontId="4" fillId="2" borderId="3" xfId="20" applyFont="1" applyFill="1" applyBorder="1" applyAlignment="1">
      <alignment horizontal="center" vertical="center" wrapText="1" shrinkToFit="1"/>
      <protection/>
    </xf>
    <xf numFmtId="0" fontId="6" fillId="0" borderId="20" xfId="20" applyFont="1" applyBorder="1" applyAlignment="1">
      <alignment horizontal="left" vertical="center" shrinkToFit="1"/>
      <protection/>
    </xf>
    <xf numFmtId="0" fontId="6" fillId="0" borderId="21" xfId="20" applyFont="1" applyBorder="1" applyAlignment="1">
      <alignment horizontal="left" vertical="center" shrinkToFit="1"/>
      <protection/>
    </xf>
    <xf numFmtId="0" fontId="6" fillId="0" borderId="14" xfId="20" applyFont="1" applyBorder="1" applyAlignment="1">
      <alignment horizontal="left" vertical="center" shrinkToFit="1"/>
      <protection/>
    </xf>
    <xf numFmtId="0" fontId="5" fillId="2" borderId="3" xfId="24" applyFont="1" applyFill="1" applyBorder="1" applyAlignment="1">
      <alignment horizontal="center" vertical="center" wrapText="1" shrinkToFit="1"/>
      <protection/>
    </xf>
    <xf numFmtId="0" fontId="12" fillId="0" borderId="0" xfId="20" applyFont="1" applyAlignment="1">
      <alignment horizontal="center"/>
      <protection/>
    </xf>
    <xf numFmtId="0" fontId="13" fillId="0" borderId="0" xfId="20" applyFont="1" applyAlignment="1">
      <alignment horizontal="center"/>
      <protection/>
    </xf>
    <xf numFmtId="0" fontId="4" fillId="2" borderId="7" xfId="20" applyFont="1" applyFill="1" applyBorder="1" applyAlignment="1">
      <alignment horizontal="center" vertical="center" wrapText="1" shrinkToFit="1"/>
      <protection/>
    </xf>
    <xf numFmtId="0" fontId="6" fillId="2" borderId="1" xfId="21" applyFont="1" applyFill="1" applyBorder="1" applyAlignment="1">
      <alignment horizontal="center" vertical="center" wrapText="1" shrinkToFit="1"/>
      <protection/>
    </xf>
    <xf numFmtId="0" fontId="6" fillId="2" borderId="2" xfId="21" applyFont="1" applyFill="1" applyBorder="1" applyAlignment="1">
      <alignment horizontal="center" vertical="center" wrapText="1" shrinkToFit="1"/>
      <protection/>
    </xf>
    <xf numFmtId="0" fontId="6" fillId="2" borderId="7" xfId="21" applyFont="1" applyFill="1" applyBorder="1" applyAlignment="1">
      <alignment horizontal="center" vertical="center" wrapText="1" shrinkToFit="1"/>
      <protection/>
    </xf>
    <xf numFmtId="0" fontId="6" fillId="2" borderId="9" xfId="21" applyFont="1" applyFill="1" applyBorder="1" applyAlignment="1">
      <alignment horizontal="center" vertical="center" wrapText="1" shrinkToFit="1"/>
      <protection/>
    </xf>
    <xf numFmtId="0" fontId="6" fillId="2" borderId="22" xfId="21" applyFont="1" applyFill="1" applyBorder="1" applyAlignment="1">
      <alignment horizontal="center" vertical="center" wrapText="1" shrinkToFit="1"/>
      <protection/>
    </xf>
    <xf numFmtId="0" fontId="6" fillId="2" borderId="5" xfId="21" applyFont="1" applyFill="1" applyBorder="1" applyAlignment="1">
      <alignment horizontal="center" vertical="center" wrapText="1" shrinkToFit="1"/>
      <protection/>
    </xf>
    <xf numFmtId="0" fontId="12" fillId="0" borderId="0" xfId="21" applyFont="1" applyAlignment="1">
      <alignment horizontal="center"/>
      <protection/>
    </xf>
    <xf numFmtId="0" fontId="6" fillId="2" borderId="6" xfId="21" applyFont="1" applyFill="1" applyBorder="1" applyAlignment="1">
      <alignment horizontal="center" vertical="center" wrapText="1" shrinkToFit="1"/>
      <protection/>
    </xf>
    <xf numFmtId="0" fontId="6" fillId="2" borderId="7" xfId="21" applyFont="1" applyFill="1" applyBorder="1" applyAlignment="1">
      <alignment horizontal="center" vertical="center" shrinkToFit="1"/>
      <protection/>
    </xf>
    <xf numFmtId="0" fontId="6" fillId="2" borderId="8" xfId="21" applyFont="1" applyFill="1" applyBorder="1" applyAlignment="1">
      <alignment horizontal="center" vertical="center" wrapText="1" shrinkToFit="1"/>
      <protection/>
    </xf>
    <xf numFmtId="0" fontId="10" fillId="0" borderId="0" xfId="22" applyFont="1" applyAlignment="1">
      <alignment horizontal="center"/>
      <protection/>
    </xf>
    <xf numFmtId="0" fontId="5" fillId="2" borderId="7" xfId="22" applyFont="1" applyFill="1" applyBorder="1" applyAlignment="1">
      <alignment horizontal="center" vertical="center" shrinkToFit="1"/>
      <protection/>
    </xf>
    <xf numFmtId="0" fontId="5" fillId="2" borderId="1" xfId="22" applyFont="1" applyFill="1" applyBorder="1" applyAlignment="1">
      <alignment horizontal="center" vertical="center" shrinkToFit="1"/>
      <protection/>
    </xf>
    <xf numFmtId="0" fontId="5" fillId="2" borderId="3" xfId="23" applyFont="1" applyFill="1" applyBorder="1" applyAlignment="1">
      <alignment horizontal="center" vertical="center" wrapText="1" shrinkToFit="1"/>
      <protection/>
    </xf>
    <xf numFmtId="0" fontId="12" fillId="0" borderId="0" xfId="23" applyFont="1" applyAlignment="1">
      <alignment horizontal="center"/>
      <protection/>
    </xf>
    <xf numFmtId="0" fontId="13" fillId="0" borderId="0" xfId="23" applyFont="1" applyAlignment="1">
      <alignment horizontal="center"/>
      <protection/>
    </xf>
    <xf numFmtId="0" fontId="5" fillId="2" borderId="3" xfId="23" applyFont="1" applyFill="1" applyBorder="1" applyAlignment="1">
      <alignment horizontal="center" vertical="center" shrinkToFit="1"/>
      <protection/>
    </xf>
    <xf numFmtId="0" fontId="5" fillId="0" borderId="1" xfId="24" applyFont="1" applyFill="1" applyBorder="1" applyAlignment="1">
      <alignment horizontal="center" vertical="center" wrapText="1" shrinkToFit="1"/>
      <protection/>
    </xf>
    <xf numFmtId="0" fontId="5" fillId="0" borderId="9" xfId="24" applyFont="1" applyFill="1" applyBorder="1" applyAlignment="1">
      <alignment horizontal="center" vertical="center" wrapText="1" shrinkToFit="1"/>
      <protection/>
    </xf>
    <xf numFmtId="0" fontId="5" fillId="0" borderId="22" xfId="24" applyFont="1" applyFill="1" applyBorder="1" applyAlignment="1">
      <alignment horizontal="center" vertical="center" wrapText="1" shrinkToFit="1"/>
      <protection/>
    </xf>
    <xf numFmtId="0" fontId="5" fillId="0" borderId="5" xfId="24" applyFont="1" applyFill="1" applyBorder="1" applyAlignment="1">
      <alignment horizontal="center" vertical="center" wrapText="1" shrinkToFit="1"/>
      <protection/>
    </xf>
    <xf numFmtId="0" fontId="14" fillId="0" borderId="0" xfId="24" applyFont="1" applyAlignment="1">
      <alignment horizontal="center"/>
      <protection/>
    </xf>
    <xf numFmtId="0" fontId="15" fillId="0" borderId="0" xfId="24" applyFont="1" applyAlignment="1">
      <alignment horizontal="center"/>
      <protection/>
    </xf>
    <xf numFmtId="0" fontId="4" fillId="0" borderId="0" xfId="24" applyFont="1" applyFill="1" applyAlignment="1">
      <alignment horizontal="left"/>
      <protection/>
    </xf>
    <xf numFmtId="0" fontId="5" fillId="0" borderId="6" xfId="24" applyFont="1" applyFill="1" applyBorder="1" applyAlignment="1">
      <alignment horizontal="center" vertical="center" wrapText="1" shrinkToFit="1"/>
      <protection/>
    </xf>
    <xf numFmtId="0" fontId="5" fillId="0" borderId="7" xfId="24" applyFont="1" applyFill="1" applyBorder="1" applyAlignment="1">
      <alignment horizontal="center" vertical="center" wrapText="1" shrinkToFit="1"/>
      <protection/>
    </xf>
  </cellXfs>
  <cellStyles count="15">
    <cellStyle name="Normal" xfId="0"/>
    <cellStyle name="Percent" xfId="15"/>
    <cellStyle name="常规_Sheet1" xfId="16"/>
    <cellStyle name="常规_Sheet2_1" xfId="17"/>
    <cellStyle name="常规_Sheet3" xfId="18"/>
    <cellStyle name="常规_Sheet4" xfId="19"/>
    <cellStyle name="常规_Sheet5" xfId="20"/>
    <cellStyle name="常规_Sheet6" xfId="21"/>
    <cellStyle name="常规_Sheet7" xfId="22"/>
    <cellStyle name="常规_Sheet8" xfId="23"/>
    <cellStyle name="常规_Sheet9" xfId="24"/>
    <cellStyle name="Currency" xfId="25"/>
    <cellStyle name="Currency [0]" xfId="26"/>
    <cellStyle name="Comma" xfId="27"/>
    <cellStyle name="Comma [0]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zoomScaleSheetLayoutView="100" workbookViewId="0" topLeftCell="A1">
      <selection activeCell="C6" sqref="C6"/>
    </sheetView>
  </sheetViews>
  <sheetFormatPr defaultColWidth="9.00390625" defaultRowHeight="14.25"/>
  <cols>
    <col min="1" max="1" width="11.625" style="0" customWidth="1"/>
    <col min="3" max="3" width="9.50390625" style="0" customWidth="1"/>
    <col min="4" max="4" width="15.00390625" style="0" customWidth="1"/>
    <col min="5" max="5" width="6.875" style="0" customWidth="1"/>
    <col min="6" max="6" width="11.125" style="0" customWidth="1"/>
    <col min="7" max="7" width="17.875" style="0" customWidth="1"/>
    <col min="9" max="9" width="10.375" style="0" customWidth="1"/>
  </cols>
  <sheetData>
    <row r="1" spans="1:9" ht="20.25">
      <c r="A1" s="168" t="s">
        <v>0</v>
      </c>
      <c r="B1" s="168"/>
      <c r="C1" s="168"/>
      <c r="D1" s="168"/>
      <c r="E1" s="168"/>
      <c r="F1" s="168"/>
      <c r="G1" s="168"/>
      <c r="H1" s="168"/>
      <c r="I1" s="168"/>
    </row>
    <row r="2" spans="1:9" ht="14.25">
      <c r="A2" s="169" t="s">
        <v>341</v>
      </c>
      <c r="B2" s="169"/>
      <c r="C2" s="169"/>
      <c r="D2" s="2"/>
      <c r="E2" s="3"/>
      <c r="F2" s="3"/>
      <c r="G2" s="3"/>
      <c r="H2" s="3"/>
      <c r="I2" s="1" t="s">
        <v>1</v>
      </c>
    </row>
    <row r="3" spans="1:9" ht="15.75" customHeight="1">
      <c r="A3" s="170" t="s">
        <v>2</v>
      </c>
      <c r="B3" s="170"/>
      <c r="C3" s="170"/>
      <c r="D3" s="170" t="s">
        <v>3</v>
      </c>
      <c r="E3" s="170"/>
      <c r="F3" s="170"/>
      <c r="G3" s="170"/>
      <c r="H3" s="170"/>
      <c r="I3" s="170"/>
    </row>
    <row r="4" spans="1:9" ht="15.75" customHeight="1">
      <c r="A4" s="83" t="s">
        <v>4</v>
      </c>
      <c r="B4" s="83" t="s">
        <v>5</v>
      </c>
      <c r="C4" s="83" t="s">
        <v>6</v>
      </c>
      <c r="D4" s="83" t="s">
        <v>7</v>
      </c>
      <c r="E4" s="83" t="s">
        <v>5</v>
      </c>
      <c r="F4" s="83" t="s">
        <v>6</v>
      </c>
      <c r="G4" s="83" t="s">
        <v>8</v>
      </c>
      <c r="H4" s="83" t="s">
        <v>5</v>
      </c>
      <c r="I4" s="83" t="s">
        <v>6</v>
      </c>
    </row>
    <row r="5" spans="1:9" ht="15.75" customHeight="1">
      <c r="A5" s="83" t="s">
        <v>9</v>
      </c>
      <c r="B5" s="83"/>
      <c r="C5" s="83">
        <v>1</v>
      </c>
      <c r="D5" s="83" t="s">
        <v>9</v>
      </c>
      <c r="E5" s="83"/>
      <c r="F5" s="83">
        <v>2</v>
      </c>
      <c r="G5" s="83" t="s">
        <v>9</v>
      </c>
      <c r="H5" s="83"/>
      <c r="I5" s="83">
        <v>3</v>
      </c>
    </row>
    <row r="6" spans="1:9" ht="15.75" customHeight="1">
      <c r="A6" s="84" t="s">
        <v>10</v>
      </c>
      <c r="B6" s="83" t="s">
        <v>11</v>
      </c>
      <c r="C6" s="103">
        <v>15539.37</v>
      </c>
      <c r="D6" s="84" t="s">
        <v>12</v>
      </c>
      <c r="E6" s="83" t="s">
        <v>13</v>
      </c>
      <c r="F6" s="103">
        <f>73950/10000</f>
        <v>7.395</v>
      </c>
      <c r="G6" s="84" t="s">
        <v>14</v>
      </c>
      <c r="H6" s="83" t="s">
        <v>15</v>
      </c>
      <c r="I6" s="103">
        <f>9223580.73/10000</f>
        <v>922.358073</v>
      </c>
    </row>
    <row r="7" spans="1:9" ht="15.75" customHeight="1">
      <c r="A7" s="84" t="s">
        <v>16</v>
      </c>
      <c r="B7" s="83" t="s">
        <v>17</v>
      </c>
      <c r="C7" s="103"/>
      <c r="D7" s="84" t="s">
        <v>18</v>
      </c>
      <c r="E7" s="83" t="s">
        <v>19</v>
      </c>
      <c r="F7" s="104"/>
      <c r="G7" s="84" t="s">
        <v>20</v>
      </c>
      <c r="H7" s="83" t="s">
        <v>21</v>
      </c>
      <c r="I7" s="103">
        <f>8624045.8/10000</f>
        <v>862.4045800000001</v>
      </c>
    </row>
    <row r="8" spans="1:9" ht="15.75" customHeight="1">
      <c r="A8" s="84" t="s">
        <v>22</v>
      </c>
      <c r="B8" s="83" t="s">
        <v>23</v>
      </c>
      <c r="C8" s="103"/>
      <c r="D8" s="84" t="s">
        <v>24</v>
      </c>
      <c r="E8" s="83" t="s">
        <v>25</v>
      </c>
      <c r="F8" s="103"/>
      <c r="G8" s="84" t="s">
        <v>26</v>
      </c>
      <c r="H8" s="83" t="s">
        <v>27</v>
      </c>
      <c r="I8" s="103">
        <f>599534.93/10000</f>
        <v>59.953493</v>
      </c>
    </row>
    <row r="9" spans="1:9" ht="15.75" customHeight="1">
      <c r="A9" s="84" t="s">
        <v>28</v>
      </c>
      <c r="B9" s="83" t="s">
        <v>29</v>
      </c>
      <c r="C9" s="103"/>
      <c r="D9" s="84" t="s">
        <v>30</v>
      </c>
      <c r="E9" s="83" t="s">
        <v>31</v>
      </c>
      <c r="F9" s="103"/>
      <c r="G9" s="84" t="s">
        <v>32</v>
      </c>
      <c r="H9" s="83" t="s">
        <v>33</v>
      </c>
      <c r="I9" s="103">
        <f>148623680.45/10000</f>
        <v>14862.368045</v>
      </c>
    </row>
    <row r="10" spans="1:9" ht="15.75" customHeight="1">
      <c r="A10" s="84" t="s">
        <v>34</v>
      </c>
      <c r="B10" s="83" t="s">
        <v>35</v>
      </c>
      <c r="C10" s="103"/>
      <c r="D10" s="84" t="s">
        <v>36</v>
      </c>
      <c r="E10" s="83" t="s">
        <v>37</v>
      </c>
      <c r="F10" s="103"/>
      <c r="G10" s="84" t="s">
        <v>38</v>
      </c>
      <c r="H10" s="83" t="s">
        <v>39</v>
      </c>
      <c r="I10" s="103"/>
    </row>
    <row r="11" spans="1:9" ht="15.75" customHeight="1">
      <c r="A11" s="84" t="s">
        <v>40</v>
      </c>
      <c r="B11" s="83" t="s">
        <v>41</v>
      </c>
      <c r="C11" s="103"/>
      <c r="D11" s="84" t="s">
        <v>42</v>
      </c>
      <c r="E11" s="83" t="s">
        <v>43</v>
      </c>
      <c r="F11" s="103"/>
      <c r="G11" s="84" t="s">
        <v>44</v>
      </c>
      <c r="H11" s="83" t="s">
        <v>45</v>
      </c>
      <c r="I11" s="103">
        <f>148623680.45/10000</f>
        <v>14862.368045</v>
      </c>
    </row>
    <row r="12" spans="1:9" ht="15.75" customHeight="1">
      <c r="A12" s="84" t="s">
        <v>46</v>
      </c>
      <c r="B12" s="83" t="s">
        <v>47</v>
      </c>
      <c r="C12" s="103">
        <v>9.16</v>
      </c>
      <c r="D12" s="84" t="s">
        <v>48</v>
      </c>
      <c r="E12" s="83" t="s">
        <v>49</v>
      </c>
      <c r="F12" s="103"/>
      <c r="G12" s="84" t="s">
        <v>50</v>
      </c>
      <c r="H12" s="83" t="s">
        <v>51</v>
      </c>
      <c r="I12" s="103"/>
    </row>
    <row r="13" spans="1:9" ht="15.75" customHeight="1">
      <c r="A13" s="85"/>
      <c r="B13" s="83" t="s">
        <v>52</v>
      </c>
      <c r="C13" s="104"/>
      <c r="D13" s="84" t="s">
        <v>53</v>
      </c>
      <c r="E13" s="83" t="s">
        <v>54</v>
      </c>
      <c r="F13" s="103">
        <f>4009211.1/10000</f>
        <v>400.92111</v>
      </c>
      <c r="G13" s="84" t="s">
        <v>55</v>
      </c>
      <c r="H13" s="83" t="s">
        <v>56</v>
      </c>
      <c r="I13" s="103"/>
    </row>
    <row r="14" spans="1:9" ht="15.75" customHeight="1">
      <c r="A14" s="84"/>
      <c r="B14" s="83" t="s">
        <v>57</v>
      </c>
      <c r="C14" s="104"/>
      <c r="D14" s="84" t="s">
        <v>58</v>
      </c>
      <c r="E14" s="83" t="s">
        <v>59</v>
      </c>
      <c r="F14" s="103"/>
      <c r="G14" s="84" t="s">
        <v>60</v>
      </c>
      <c r="H14" s="83" t="s">
        <v>61</v>
      </c>
      <c r="I14" s="103"/>
    </row>
    <row r="15" spans="1:9" ht="15.75" customHeight="1">
      <c r="A15" s="84"/>
      <c r="B15" s="83" t="s">
        <v>62</v>
      </c>
      <c r="C15" s="104"/>
      <c r="D15" s="84" t="s">
        <v>63</v>
      </c>
      <c r="E15" s="83" t="s">
        <v>64</v>
      </c>
      <c r="F15" s="103">
        <f>151573751.19/10000</f>
        <v>15157.375119</v>
      </c>
      <c r="G15" s="84"/>
      <c r="H15" s="83" t="s">
        <v>65</v>
      </c>
      <c r="I15" s="104"/>
    </row>
    <row r="16" spans="1:9" ht="15.75" customHeight="1">
      <c r="A16" s="84"/>
      <c r="B16" s="83" t="s">
        <v>66</v>
      </c>
      <c r="C16" s="104"/>
      <c r="D16" s="84" t="s">
        <v>67</v>
      </c>
      <c r="E16" s="83" t="s">
        <v>68</v>
      </c>
      <c r="F16" s="103"/>
      <c r="G16" s="83" t="s">
        <v>69</v>
      </c>
      <c r="H16" s="83" t="s">
        <v>70</v>
      </c>
      <c r="I16" s="104" t="s">
        <v>308</v>
      </c>
    </row>
    <row r="17" spans="1:9" ht="15.75" customHeight="1">
      <c r="A17" s="84"/>
      <c r="B17" s="83" t="s">
        <v>71</v>
      </c>
      <c r="C17" s="104"/>
      <c r="D17" s="84" t="s">
        <v>72</v>
      </c>
      <c r="E17" s="83" t="s">
        <v>73</v>
      </c>
      <c r="F17" s="103"/>
      <c r="G17" s="84" t="s">
        <v>74</v>
      </c>
      <c r="H17" s="83" t="s">
        <v>75</v>
      </c>
      <c r="I17" s="103">
        <f>157847261.18/10000</f>
        <v>15784.726118</v>
      </c>
    </row>
    <row r="18" spans="1:9" ht="15.75" customHeight="1">
      <c r="A18" s="84"/>
      <c r="B18" s="83" t="s">
        <v>76</v>
      </c>
      <c r="C18" s="104"/>
      <c r="D18" s="84" t="s">
        <v>77</v>
      </c>
      <c r="E18" s="83" t="s">
        <v>78</v>
      </c>
      <c r="F18" s="103"/>
      <c r="G18" s="84" t="s">
        <v>79</v>
      </c>
      <c r="H18" s="83" t="s">
        <v>80</v>
      </c>
      <c r="I18" s="103">
        <f>5079213.22/10000</f>
        <v>507.921322</v>
      </c>
    </row>
    <row r="19" spans="1:9" ht="15.75" customHeight="1">
      <c r="A19" s="84"/>
      <c r="B19" s="83" t="s">
        <v>81</v>
      </c>
      <c r="C19" s="104"/>
      <c r="D19" s="84" t="s">
        <v>82</v>
      </c>
      <c r="E19" s="83" t="s">
        <v>83</v>
      </c>
      <c r="F19" s="103"/>
      <c r="G19" s="84" t="s">
        <v>84</v>
      </c>
      <c r="H19" s="83" t="s">
        <v>85</v>
      </c>
      <c r="I19" s="103">
        <f>7329161.46/10000</f>
        <v>732.916146</v>
      </c>
    </row>
    <row r="20" spans="1:9" ht="15.75" customHeight="1">
      <c r="A20" s="84"/>
      <c r="B20" s="83" t="s">
        <v>86</v>
      </c>
      <c r="C20" s="104"/>
      <c r="D20" s="84" t="s">
        <v>87</v>
      </c>
      <c r="E20" s="83" t="s">
        <v>88</v>
      </c>
      <c r="F20" s="103"/>
      <c r="G20" s="84" t="s">
        <v>89</v>
      </c>
      <c r="H20" s="83" t="s">
        <v>90</v>
      </c>
      <c r="I20" s="103">
        <f>3544832.58/10000</f>
        <v>354.48325800000003</v>
      </c>
    </row>
    <row r="21" spans="1:9" ht="15.75" customHeight="1">
      <c r="A21" s="84"/>
      <c r="B21" s="83" t="s">
        <v>91</v>
      </c>
      <c r="C21" s="104"/>
      <c r="D21" s="84" t="s">
        <v>92</v>
      </c>
      <c r="E21" s="83" t="s">
        <v>93</v>
      </c>
      <c r="F21" s="103"/>
      <c r="G21" s="84" t="s">
        <v>94</v>
      </c>
      <c r="H21" s="83" t="s">
        <v>95</v>
      </c>
      <c r="I21" s="103">
        <f>141434483.92/10000</f>
        <v>14143.448391999998</v>
      </c>
    </row>
    <row r="22" spans="1:9" ht="15.75" customHeight="1">
      <c r="A22" s="84"/>
      <c r="B22" s="83" t="s">
        <v>96</v>
      </c>
      <c r="C22" s="104"/>
      <c r="D22" s="84" t="s">
        <v>97</v>
      </c>
      <c r="E22" s="83" t="s">
        <v>98</v>
      </c>
      <c r="F22" s="104"/>
      <c r="G22" s="84" t="s">
        <v>99</v>
      </c>
      <c r="H22" s="83" t="s">
        <v>100</v>
      </c>
      <c r="I22" s="103"/>
    </row>
    <row r="23" spans="1:9" ht="15.75" customHeight="1">
      <c r="A23" s="84"/>
      <c r="B23" s="83" t="s">
        <v>101</v>
      </c>
      <c r="C23" s="104"/>
      <c r="D23" s="84" t="s">
        <v>102</v>
      </c>
      <c r="E23" s="83" t="s">
        <v>103</v>
      </c>
      <c r="F23" s="103"/>
      <c r="G23" s="84" t="s">
        <v>104</v>
      </c>
      <c r="H23" s="83" t="s">
        <v>105</v>
      </c>
      <c r="I23" s="103"/>
    </row>
    <row r="24" spans="1:9" ht="15.75" customHeight="1">
      <c r="A24" s="84"/>
      <c r="B24" s="83" t="s">
        <v>106</v>
      </c>
      <c r="C24" s="104"/>
      <c r="D24" s="84" t="s">
        <v>107</v>
      </c>
      <c r="E24" s="83" t="s">
        <v>108</v>
      </c>
      <c r="F24" s="103">
        <f>392022/10000</f>
        <v>39.2022</v>
      </c>
      <c r="G24" s="84" t="s">
        <v>109</v>
      </c>
      <c r="H24" s="83" t="s">
        <v>110</v>
      </c>
      <c r="I24" s="105"/>
    </row>
    <row r="25" spans="1:9" ht="15.75" customHeight="1">
      <c r="A25" s="84"/>
      <c r="B25" s="83" t="s">
        <v>111</v>
      </c>
      <c r="C25" s="104"/>
      <c r="D25" s="84" t="s">
        <v>112</v>
      </c>
      <c r="E25" s="83" t="s">
        <v>113</v>
      </c>
      <c r="F25" s="103"/>
      <c r="G25" s="84" t="s">
        <v>114</v>
      </c>
      <c r="H25" s="83" t="s">
        <v>115</v>
      </c>
      <c r="I25" s="103">
        <f>459570/10000</f>
        <v>45.957</v>
      </c>
    </row>
    <row r="26" spans="1:9" ht="15.75" customHeight="1">
      <c r="A26" s="84"/>
      <c r="B26" s="83" t="s">
        <v>116</v>
      </c>
      <c r="C26" s="104"/>
      <c r="D26" s="84" t="s">
        <v>117</v>
      </c>
      <c r="E26" s="83" t="s">
        <v>118</v>
      </c>
      <c r="F26" s="103">
        <f>1798326.89/10000</f>
        <v>179.832689</v>
      </c>
      <c r="G26" s="84" t="s">
        <v>119</v>
      </c>
      <c r="H26" s="83" t="s">
        <v>120</v>
      </c>
      <c r="I26" s="104"/>
    </row>
    <row r="27" spans="1:9" ht="15.75" customHeight="1">
      <c r="A27" s="84"/>
      <c r="B27" s="83" t="s">
        <v>121</v>
      </c>
      <c r="C27" s="104"/>
      <c r="D27" s="84" t="s">
        <v>122</v>
      </c>
      <c r="E27" s="83" t="s">
        <v>123</v>
      </c>
      <c r="F27" s="103"/>
      <c r="G27" s="84" t="s">
        <v>124</v>
      </c>
      <c r="H27" s="83" t="s">
        <v>125</v>
      </c>
      <c r="I27" s="104"/>
    </row>
    <row r="28" spans="1:9" ht="15.75" customHeight="1">
      <c r="A28" s="84"/>
      <c r="B28" s="83" t="s">
        <v>126</v>
      </c>
      <c r="C28" s="104"/>
      <c r="D28" s="84"/>
      <c r="E28" s="83" t="s">
        <v>127</v>
      </c>
      <c r="F28" s="104"/>
      <c r="G28" s="84"/>
      <c r="H28" s="83" t="s">
        <v>128</v>
      </c>
      <c r="I28" s="104"/>
    </row>
    <row r="29" spans="1:9" ht="15.75" customHeight="1">
      <c r="A29" s="86" t="s">
        <v>129</v>
      </c>
      <c r="B29" s="83" t="s">
        <v>130</v>
      </c>
      <c r="C29" s="103">
        <f>C6+C12</f>
        <v>15548.53</v>
      </c>
      <c r="D29" s="167" t="s">
        <v>131</v>
      </c>
      <c r="E29" s="167"/>
      <c r="F29" s="167"/>
      <c r="G29" s="167"/>
      <c r="H29" s="83" t="s">
        <v>132</v>
      </c>
      <c r="I29" s="103">
        <f>157847261.18/10000</f>
        <v>15784.726118</v>
      </c>
    </row>
    <row r="30" spans="1:9" ht="15.75" customHeight="1">
      <c r="A30" s="84" t="s">
        <v>133</v>
      </c>
      <c r="B30" s="83" t="s">
        <v>134</v>
      </c>
      <c r="C30" s="103"/>
      <c r="D30" s="166" t="s">
        <v>135</v>
      </c>
      <c r="E30" s="166"/>
      <c r="F30" s="166"/>
      <c r="G30" s="166"/>
      <c r="H30" s="83" t="s">
        <v>136</v>
      </c>
      <c r="I30" s="103"/>
    </row>
    <row r="31" spans="1:9" ht="15.75" customHeight="1">
      <c r="A31" s="84" t="s">
        <v>137</v>
      </c>
      <c r="B31" s="83" t="s">
        <v>138</v>
      </c>
      <c r="C31" s="103">
        <f>3129359.27/10000</f>
        <v>312.935927</v>
      </c>
      <c r="D31" s="166" t="s">
        <v>139</v>
      </c>
      <c r="E31" s="166" t="s">
        <v>140</v>
      </c>
      <c r="F31" s="166"/>
      <c r="G31" s="166" t="s">
        <v>141</v>
      </c>
      <c r="H31" s="83" t="s">
        <v>142</v>
      </c>
      <c r="I31" s="103"/>
    </row>
    <row r="32" spans="1:9" ht="15.75" customHeight="1">
      <c r="A32" s="84" t="s">
        <v>143</v>
      </c>
      <c r="B32" s="83" t="s">
        <v>144</v>
      </c>
      <c r="C32" s="103">
        <f>519651.48/10000</f>
        <v>51.965148</v>
      </c>
      <c r="D32" s="166" t="s">
        <v>145</v>
      </c>
      <c r="E32" s="166" t="s">
        <v>146</v>
      </c>
      <c r="F32" s="166"/>
      <c r="G32" s="166" t="s">
        <v>147</v>
      </c>
      <c r="H32" s="83" t="s">
        <v>148</v>
      </c>
      <c r="I32" s="103"/>
    </row>
    <row r="33" spans="1:9" ht="15.75" customHeight="1">
      <c r="A33" s="84" t="s">
        <v>149</v>
      </c>
      <c r="B33" s="83" t="s">
        <v>150</v>
      </c>
      <c r="C33" s="103">
        <f>2609707.79/10000</f>
        <v>260.970779</v>
      </c>
      <c r="D33" s="166" t="s">
        <v>151</v>
      </c>
      <c r="E33" s="166" t="s">
        <v>152</v>
      </c>
      <c r="F33" s="166"/>
      <c r="G33" s="166" t="s">
        <v>153</v>
      </c>
      <c r="H33" s="83" t="s">
        <v>154</v>
      </c>
      <c r="I33" s="103"/>
    </row>
    <row r="34" spans="1:9" ht="15.75" customHeight="1">
      <c r="A34" s="84" t="s">
        <v>155</v>
      </c>
      <c r="B34" s="83" t="s">
        <v>156</v>
      </c>
      <c r="C34" s="103"/>
      <c r="D34" s="166" t="s">
        <v>157</v>
      </c>
      <c r="E34" s="166" t="s">
        <v>158</v>
      </c>
      <c r="F34" s="166"/>
      <c r="G34" s="166" t="s">
        <v>159</v>
      </c>
      <c r="H34" s="83" t="s">
        <v>160</v>
      </c>
      <c r="I34" s="104"/>
    </row>
    <row r="35" spans="1:9" ht="15.75" customHeight="1">
      <c r="A35" s="84"/>
      <c r="B35" s="83" t="s">
        <v>161</v>
      </c>
      <c r="C35" s="104"/>
      <c r="D35" s="166" t="s">
        <v>162</v>
      </c>
      <c r="E35" s="166" t="s">
        <v>163</v>
      </c>
      <c r="F35" s="166"/>
      <c r="G35" s="166" t="s">
        <v>164</v>
      </c>
      <c r="H35" s="83" t="s">
        <v>165</v>
      </c>
      <c r="I35" s="103">
        <f>767463.04/10000</f>
        <v>76.74630400000001</v>
      </c>
    </row>
    <row r="36" spans="1:9" ht="15.75" customHeight="1">
      <c r="A36" s="84"/>
      <c r="B36" s="83" t="s">
        <v>166</v>
      </c>
      <c r="C36" s="104"/>
      <c r="D36" s="166" t="s">
        <v>143</v>
      </c>
      <c r="E36" s="166"/>
      <c r="F36" s="166"/>
      <c r="G36" s="166"/>
      <c r="H36" s="83" t="s">
        <v>167</v>
      </c>
      <c r="I36" s="103"/>
    </row>
    <row r="37" spans="1:9" ht="15.75" customHeight="1">
      <c r="A37" s="84"/>
      <c r="B37" s="83" t="s">
        <v>168</v>
      </c>
      <c r="C37" s="104"/>
      <c r="D37" s="166" t="s">
        <v>149</v>
      </c>
      <c r="E37" s="166"/>
      <c r="F37" s="166"/>
      <c r="G37" s="166"/>
      <c r="H37" s="83" t="s">
        <v>169</v>
      </c>
      <c r="I37" s="103">
        <f>767463.04/10000</f>
        <v>76.74630400000001</v>
      </c>
    </row>
    <row r="38" spans="1:9" ht="15.75" customHeight="1">
      <c r="A38" s="84"/>
      <c r="B38" s="83" t="s">
        <v>170</v>
      </c>
      <c r="C38" s="104"/>
      <c r="D38" s="166" t="s">
        <v>155</v>
      </c>
      <c r="E38" s="166"/>
      <c r="F38" s="166"/>
      <c r="G38" s="166"/>
      <c r="H38" s="83" t="s">
        <v>171</v>
      </c>
      <c r="I38" s="103"/>
    </row>
    <row r="39" spans="1:9" ht="15.75" customHeight="1">
      <c r="A39" s="86" t="s">
        <v>172</v>
      </c>
      <c r="B39" s="83" t="s">
        <v>173</v>
      </c>
      <c r="C39" s="103">
        <f>158614724.22/10000</f>
        <v>15861.472422</v>
      </c>
      <c r="D39" s="167" t="s">
        <v>172</v>
      </c>
      <c r="E39" s="167"/>
      <c r="F39" s="167"/>
      <c r="G39" s="167"/>
      <c r="H39" s="83" t="s">
        <v>174</v>
      </c>
      <c r="I39" s="103">
        <f>158614724.22/10000</f>
        <v>15861.472422</v>
      </c>
    </row>
  </sheetData>
  <mergeCells count="15">
    <mergeCell ref="A1:I1"/>
    <mergeCell ref="A2:C2"/>
    <mergeCell ref="A3:C3"/>
    <mergeCell ref="D3:I3"/>
    <mergeCell ref="D29:G29"/>
    <mergeCell ref="D30:G30"/>
    <mergeCell ref="D31:G31"/>
    <mergeCell ref="D32:G32"/>
    <mergeCell ref="D37:G37"/>
    <mergeCell ref="D38:G38"/>
    <mergeCell ref="D39:G39"/>
    <mergeCell ref="D33:G33"/>
    <mergeCell ref="D34:G34"/>
    <mergeCell ref="D35:G35"/>
    <mergeCell ref="D36:G36"/>
  </mergeCells>
  <printOptions/>
  <pageMargins left="0.33" right="0.23" top="0.7479166666666667" bottom="1" header="0.5111111111111111" footer="0.5111111111111111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zoomScaleSheetLayoutView="100" workbookViewId="0" topLeftCell="A1">
      <selection activeCell="G21" sqref="G21"/>
    </sheetView>
  </sheetViews>
  <sheetFormatPr defaultColWidth="9.00390625" defaultRowHeight="14.25"/>
  <cols>
    <col min="1" max="1" width="4.75390625" style="0" customWidth="1"/>
    <col min="2" max="2" width="4.625" style="0" customWidth="1"/>
    <col min="3" max="3" width="6.125" style="0" customWidth="1"/>
    <col min="4" max="4" width="21.625" style="0" customWidth="1"/>
    <col min="5" max="6" width="11.375" style="0" customWidth="1"/>
    <col min="7" max="7" width="13.00390625" style="0" customWidth="1"/>
    <col min="8" max="8" width="10.125" style="0" customWidth="1"/>
    <col min="9" max="9" width="10.00390625" style="0" customWidth="1"/>
    <col min="10" max="10" width="17.75390625" style="0" customWidth="1"/>
    <col min="11" max="11" width="8.50390625" style="0" customWidth="1"/>
  </cols>
  <sheetData>
    <row r="1" spans="1:12" ht="27">
      <c r="A1" s="154" t="s">
        <v>175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4"/>
    </row>
    <row r="2" spans="1:12" ht="27" customHeight="1">
      <c r="A2" s="7" t="s">
        <v>176</v>
      </c>
      <c r="B2" s="4"/>
      <c r="C2" s="81" t="s">
        <v>342</v>
      </c>
      <c r="D2" s="4"/>
      <c r="E2" s="4"/>
      <c r="F2" s="4"/>
      <c r="G2" s="4"/>
      <c r="H2" s="5"/>
      <c r="I2" s="4"/>
      <c r="J2" s="6"/>
      <c r="K2" s="17" t="s">
        <v>1</v>
      </c>
      <c r="L2" s="4"/>
    </row>
    <row r="3" spans="1:12" ht="24" customHeight="1">
      <c r="A3" s="155" t="s">
        <v>4</v>
      </c>
      <c r="B3" s="156"/>
      <c r="C3" s="156"/>
      <c r="D3" s="156"/>
      <c r="E3" s="171" t="s">
        <v>129</v>
      </c>
      <c r="F3" s="171" t="s">
        <v>177</v>
      </c>
      <c r="G3" s="171" t="s">
        <v>178</v>
      </c>
      <c r="H3" s="171" t="s">
        <v>179</v>
      </c>
      <c r="I3" s="171" t="s">
        <v>180</v>
      </c>
      <c r="J3" s="171" t="s">
        <v>181</v>
      </c>
      <c r="K3" s="171" t="s">
        <v>182</v>
      </c>
      <c r="L3" s="4"/>
    </row>
    <row r="4" spans="1:12" ht="15" customHeight="1">
      <c r="A4" s="173" t="s">
        <v>183</v>
      </c>
      <c r="B4" s="172"/>
      <c r="C4" s="172"/>
      <c r="D4" s="177" t="s">
        <v>184</v>
      </c>
      <c r="E4" s="172"/>
      <c r="F4" s="172"/>
      <c r="G4" s="172"/>
      <c r="H4" s="172"/>
      <c r="I4" s="172"/>
      <c r="J4" s="172"/>
      <c r="K4" s="171"/>
      <c r="L4" s="4"/>
    </row>
    <row r="5" spans="1:12" ht="15" customHeight="1">
      <c r="A5" s="173"/>
      <c r="B5" s="172"/>
      <c r="C5" s="172"/>
      <c r="D5" s="177"/>
      <c r="E5" s="172"/>
      <c r="F5" s="172"/>
      <c r="G5" s="172"/>
      <c r="H5" s="172"/>
      <c r="I5" s="172"/>
      <c r="J5" s="172"/>
      <c r="K5" s="171"/>
      <c r="L5" s="4"/>
    </row>
    <row r="6" spans="1:12" ht="24" customHeight="1">
      <c r="A6" s="175" t="s">
        <v>185</v>
      </c>
      <c r="B6" s="177" t="s">
        <v>186</v>
      </c>
      <c r="C6" s="177" t="s">
        <v>187</v>
      </c>
      <c r="D6" s="9" t="s">
        <v>9</v>
      </c>
      <c r="E6" s="8" t="s">
        <v>11</v>
      </c>
      <c r="F6" s="8" t="s">
        <v>17</v>
      </c>
      <c r="G6" s="8" t="s">
        <v>23</v>
      </c>
      <c r="H6" s="8" t="s">
        <v>29</v>
      </c>
      <c r="I6" s="8" t="s">
        <v>35</v>
      </c>
      <c r="J6" s="8" t="s">
        <v>41</v>
      </c>
      <c r="K6" s="8" t="s">
        <v>47</v>
      </c>
      <c r="L6" s="4"/>
    </row>
    <row r="7" spans="1:12" ht="24" customHeight="1">
      <c r="A7" s="176"/>
      <c r="B7" s="178"/>
      <c r="C7" s="178"/>
      <c r="D7" s="87" t="s">
        <v>188</v>
      </c>
      <c r="E7" s="107">
        <f>155485364.95/10000</f>
        <v>15548.536494999998</v>
      </c>
      <c r="F7" s="107">
        <f>155393715.58/10000</f>
        <v>15539.371558</v>
      </c>
      <c r="G7" s="108"/>
      <c r="H7" s="108"/>
      <c r="I7" s="108"/>
      <c r="J7" s="108"/>
      <c r="K7" s="107">
        <f>91649.37/10000</f>
        <v>9.164937</v>
      </c>
      <c r="L7" s="4"/>
    </row>
    <row r="8" spans="1:12" ht="13.5" customHeight="1">
      <c r="A8" s="174">
        <v>201</v>
      </c>
      <c r="B8" s="174"/>
      <c r="C8" s="174"/>
      <c r="D8" s="106" t="s">
        <v>344</v>
      </c>
      <c r="E8" s="109">
        <f aca="true" t="shared" si="0" ref="E8:F10">73950/10000</f>
        <v>7.395</v>
      </c>
      <c r="F8" s="109">
        <f t="shared" si="0"/>
        <v>7.395</v>
      </c>
      <c r="G8" s="110"/>
      <c r="H8" s="109"/>
      <c r="I8" s="110"/>
      <c r="J8" s="110"/>
      <c r="K8" s="109"/>
      <c r="L8" s="4"/>
    </row>
    <row r="9" spans="1:12" ht="13.5" customHeight="1">
      <c r="A9" s="174">
        <v>20199</v>
      </c>
      <c r="B9" s="174"/>
      <c r="C9" s="174"/>
      <c r="D9" s="106" t="s">
        <v>345</v>
      </c>
      <c r="E9" s="109">
        <f t="shared" si="0"/>
        <v>7.395</v>
      </c>
      <c r="F9" s="109">
        <f t="shared" si="0"/>
        <v>7.395</v>
      </c>
      <c r="G9" s="110"/>
      <c r="H9" s="110"/>
      <c r="I9" s="110"/>
      <c r="J9" s="110"/>
      <c r="K9" s="109"/>
      <c r="L9" s="4"/>
    </row>
    <row r="10" spans="1:12" ht="13.5" customHeight="1">
      <c r="A10" s="174">
        <v>2019999</v>
      </c>
      <c r="B10" s="174"/>
      <c r="C10" s="174"/>
      <c r="D10" s="106" t="s">
        <v>372</v>
      </c>
      <c r="E10" s="109">
        <f t="shared" si="0"/>
        <v>7.395</v>
      </c>
      <c r="F10" s="109">
        <f t="shared" si="0"/>
        <v>7.395</v>
      </c>
      <c r="G10" s="110"/>
      <c r="H10" s="110"/>
      <c r="I10" s="110"/>
      <c r="J10" s="110"/>
      <c r="K10" s="109"/>
      <c r="L10" s="4"/>
    </row>
    <row r="11" spans="1:12" ht="13.5" customHeight="1">
      <c r="A11" s="174">
        <v>208</v>
      </c>
      <c r="B11" s="174"/>
      <c r="C11" s="174"/>
      <c r="D11" s="106" t="s">
        <v>347</v>
      </c>
      <c r="E11" s="109">
        <f>4009211.1/10000</f>
        <v>400.92111</v>
      </c>
      <c r="F11" s="109">
        <f>4009211.1/10000</f>
        <v>400.92111</v>
      </c>
      <c r="G11" s="110"/>
      <c r="H11" s="110"/>
      <c r="I11" s="110"/>
      <c r="J11" s="110"/>
      <c r="K11" s="110"/>
      <c r="L11" s="4"/>
    </row>
    <row r="12" spans="1:12" ht="13.5" customHeight="1">
      <c r="A12" s="174">
        <v>20805</v>
      </c>
      <c r="B12" s="174"/>
      <c r="C12" s="174"/>
      <c r="D12" s="106" t="s">
        <v>348</v>
      </c>
      <c r="E12" s="109">
        <f>2291727.18/10000</f>
        <v>229.172718</v>
      </c>
      <c r="F12" s="109">
        <f>2291727.18/10000</f>
        <v>229.172718</v>
      </c>
      <c r="G12" s="110"/>
      <c r="H12" s="110"/>
      <c r="I12" s="110"/>
      <c r="J12" s="110"/>
      <c r="K12" s="110"/>
      <c r="L12" s="4"/>
    </row>
    <row r="13" spans="1:12" ht="13.5" customHeight="1">
      <c r="A13" s="174">
        <v>2080501</v>
      </c>
      <c r="B13" s="174"/>
      <c r="C13" s="174"/>
      <c r="D13" s="106" t="s">
        <v>373</v>
      </c>
      <c r="E13" s="109">
        <f>2291727.18/10000</f>
        <v>229.172718</v>
      </c>
      <c r="F13" s="109">
        <f>2291727.18/10000</f>
        <v>229.172718</v>
      </c>
      <c r="G13" s="110"/>
      <c r="H13" s="110"/>
      <c r="I13" s="110"/>
      <c r="J13" s="110"/>
      <c r="K13" s="110"/>
      <c r="L13" s="4"/>
    </row>
    <row r="14" spans="1:12" ht="13.5" customHeight="1">
      <c r="A14" s="174">
        <v>20806</v>
      </c>
      <c r="B14" s="174"/>
      <c r="C14" s="174"/>
      <c r="D14" s="106" t="s">
        <v>349</v>
      </c>
      <c r="E14" s="109">
        <f>967483.92/10000</f>
        <v>96.74839200000001</v>
      </c>
      <c r="F14" s="109">
        <f>967483.92/10000</f>
        <v>96.74839200000001</v>
      </c>
      <c r="G14" s="110"/>
      <c r="H14" s="110"/>
      <c r="I14" s="110"/>
      <c r="J14" s="110"/>
      <c r="K14" s="110"/>
      <c r="L14" s="4"/>
    </row>
    <row r="15" spans="1:12" ht="13.5" customHeight="1">
      <c r="A15" s="174">
        <v>2080601</v>
      </c>
      <c r="B15" s="174"/>
      <c r="C15" s="174"/>
      <c r="D15" s="106" t="s">
        <v>374</v>
      </c>
      <c r="E15" s="109">
        <f>967483.92/10000</f>
        <v>96.74839200000001</v>
      </c>
      <c r="F15" s="109">
        <f>967483.92/10000</f>
        <v>96.74839200000001</v>
      </c>
      <c r="G15" s="110"/>
      <c r="H15" s="110"/>
      <c r="I15" s="110"/>
      <c r="J15" s="110"/>
      <c r="K15" s="110"/>
      <c r="L15" s="4"/>
    </row>
    <row r="16" spans="1:12" ht="13.5" customHeight="1">
      <c r="A16" s="174">
        <v>20899</v>
      </c>
      <c r="B16" s="174"/>
      <c r="C16" s="174"/>
      <c r="D16" s="106" t="s">
        <v>350</v>
      </c>
      <c r="E16" s="109">
        <f>750000/10000</f>
        <v>75</v>
      </c>
      <c r="F16" s="109">
        <f>750000/10000</f>
        <v>75</v>
      </c>
      <c r="G16" s="110"/>
      <c r="H16" s="110"/>
      <c r="I16" s="110"/>
      <c r="J16" s="110"/>
      <c r="K16" s="110"/>
      <c r="L16" s="4"/>
    </row>
    <row r="17" spans="1:12" ht="13.5" customHeight="1">
      <c r="A17" s="174">
        <v>2089901</v>
      </c>
      <c r="B17" s="174"/>
      <c r="C17" s="174"/>
      <c r="D17" s="106" t="s">
        <v>375</v>
      </c>
      <c r="E17" s="109">
        <f>750000/10000</f>
        <v>75</v>
      </c>
      <c r="F17" s="109">
        <f>750000/10000</f>
        <v>75</v>
      </c>
      <c r="G17" s="110"/>
      <c r="H17" s="110"/>
      <c r="I17" s="110"/>
      <c r="J17" s="110"/>
      <c r="K17" s="110"/>
      <c r="L17" s="4"/>
    </row>
    <row r="18" spans="1:12" ht="13.5" customHeight="1">
      <c r="A18" s="174">
        <v>211</v>
      </c>
      <c r="B18" s="174"/>
      <c r="C18" s="174"/>
      <c r="D18" s="106" t="s">
        <v>351</v>
      </c>
      <c r="E18" s="109">
        <f>150853974.51/10000</f>
        <v>15085.397450999999</v>
      </c>
      <c r="F18" s="109">
        <f>150853974.51/10000</f>
        <v>15085.397450999999</v>
      </c>
      <c r="G18" s="110"/>
      <c r="H18" s="110"/>
      <c r="I18" s="110"/>
      <c r="J18" s="110"/>
      <c r="K18" s="109"/>
      <c r="L18" s="4"/>
    </row>
    <row r="19" spans="1:12" ht="13.5" customHeight="1">
      <c r="A19" s="174">
        <v>21101</v>
      </c>
      <c r="B19" s="174"/>
      <c r="C19" s="174"/>
      <c r="D19" s="106" t="s">
        <v>352</v>
      </c>
      <c r="E19" s="109">
        <f>5870022.73/10000</f>
        <v>587.0022730000001</v>
      </c>
      <c r="F19" s="109">
        <f>5870022.73/10000</f>
        <v>587.0022730000001</v>
      </c>
      <c r="G19" s="110"/>
      <c r="H19" s="110"/>
      <c r="I19" s="110"/>
      <c r="J19" s="110"/>
      <c r="K19" s="110"/>
      <c r="L19" s="4"/>
    </row>
    <row r="20" spans="1:11" ht="13.5" customHeight="1">
      <c r="A20" s="174">
        <v>2110101</v>
      </c>
      <c r="B20" s="174"/>
      <c r="C20" s="174"/>
      <c r="D20" s="101" t="s">
        <v>376</v>
      </c>
      <c r="E20" s="111">
        <f>5790022.73/10000</f>
        <v>579.0022730000001</v>
      </c>
      <c r="F20" s="111">
        <f>5790022.73/10000</f>
        <v>579.0022730000001</v>
      </c>
      <c r="G20" s="105"/>
      <c r="H20" s="105"/>
      <c r="I20" s="105"/>
      <c r="J20" s="105"/>
      <c r="K20" s="105"/>
    </row>
    <row r="21" spans="1:11" ht="13.5" customHeight="1">
      <c r="A21" s="174">
        <v>2110104</v>
      </c>
      <c r="B21" s="174"/>
      <c r="C21" s="174"/>
      <c r="D21" s="101" t="s">
        <v>377</v>
      </c>
      <c r="E21" s="111">
        <f>80000/10000</f>
        <v>8</v>
      </c>
      <c r="F21" s="111">
        <f>80000/10000</f>
        <v>8</v>
      </c>
      <c r="G21" s="105"/>
      <c r="H21" s="105"/>
      <c r="I21" s="105"/>
      <c r="J21" s="105"/>
      <c r="K21" s="105"/>
    </row>
    <row r="22" spans="1:11" ht="13.5" customHeight="1">
      <c r="A22" s="174">
        <v>21103</v>
      </c>
      <c r="B22" s="174"/>
      <c r="C22" s="174"/>
      <c r="D22" s="101" t="s">
        <v>353</v>
      </c>
      <c r="E22" s="111">
        <f>144983951.78/10000</f>
        <v>14498.395178</v>
      </c>
      <c r="F22" s="111">
        <f>144983951.78/10000</f>
        <v>14498.395178</v>
      </c>
      <c r="G22" s="105"/>
      <c r="H22" s="105"/>
      <c r="I22" s="105"/>
      <c r="J22" s="105"/>
      <c r="K22" s="105"/>
    </row>
    <row r="23" spans="1:11" ht="13.5" customHeight="1">
      <c r="A23" s="174">
        <v>2110301</v>
      </c>
      <c r="B23" s="174"/>
      <c r="C23" s="174"/>
      <c r="D23" s="101" t="s">
        <v>378</v>
      </c>
      <c r="E23" s="111">
        <f>777000/10000</f>
        <v>77.7</v>
      </c>
      <c r="F23" s="111">
        <f>777000/10000</f>
        <v>77.7</v>
      </c>
      <c r="G23" s="105"/>
      <c r="H23" s="105"/>
      <c r="I23" s="105"/>
      <c r="J23" s="105"/>
      <c r="K23" s="105"/>
    </row>
    <row r="24" spans="1:11" ht="13.5" customHeight="1">
      <c r="A24" s="174">
        <v>2110307</v>
      </c>
      <c r="B24" s="174"/>
      <c r="C24" s="174"/>
      <c r="D24" s="101" t="s">
        <v>379</v>
      </c>
      <c r="E24" s="111">
        <f>2499300/10000</f>
        <v>249.93</v>
      </c>
      <c r="F24" s="111">
        <f>2499300/10000</f>
        <v>249.93</v>
      </c>
      <c r="G24" s="105"/>
      <c r="H24" s="105"/>
      <c r="I24" s="105"/>
      <c r="J24" s="105"/>
      <c r="K24" s="105"/>
    </row>
    <row r="25" spans="1:11" ht="13.5" customHeight="1">
      <c r="A25" s="174">
        <v>2110399</v>
      </c>
      <c r="B25" s="174"/>
      <c r="C25" s="174"/>
      <c r="D25" s="101" t="s">
        <v>380</v>
      </c>
      <c r="E25" s="111">
        <f>141707651.78/10000</f>
        <v>14170.765178</v>
      </c>
      <c r="F25" s="111">
        <f>141707651.78/10000</f>
        <v>14170.765178</v>
      </c>
      <c r="G25" s="105"/>
      <c r="H25" s="105"/>
      <c r="I25" s="105"/>
      <c r="J25" s="105"/>
      <c r="K25" s="105"/>
    </row>
    <row r="26" spans="1:11" ht="13.5" customHeight="1">
      <c r="A26" s="174">
        <v>221</v>
      </c>
      <c r="B26" s="174"/>
      <c r="C26" s="174"/>
      <c r="D26" s="101" t="s">
        <v>356</v>
      </c>
      <c r="E26" s="111">
        <f aca="true" t="shared" si="1" ref="E26:F28">392022/10000</f>
        <v>39.2022</v>
      </c>
      <c r="F26" s="111">
        <f t="shared" si="1"/>
        <v>39.2022</v>
      </c>
      <c r="G26" s="105"/>
      <c r="H26" s="105"/>
      <c r="I26" s="105"/>
      <c r="J26" s="105"/>
      <c r="K26" s="105"/>
    </row>
    <row r="27" spans="1:11" ht="13.5" customHeight="1">
      <c r="A27" s="174">
        <v>22102</v>
      </c>
      <c r="B27" s="174"/>
      <c r="C27" s="174"/>
      <c r="D27" s="101" t="s">
        <v>357</v>
      </c>
      <c r="E27" s="111">
        <f t="shared" si="1"/>
        <v>39.2022</v>
      </c>
      <c r="F27" s="111">
        <f t="shared" si="1"/>
        <v>39.2022</v>
      </c>
      <c r="G27" s="105"/>
      <c r="H27" s="105"/>
      <c r="I27" s="105"/>
      <c r="J27" s="105"/>
      <c r="K27" s="105"/>
    </row>
    <row r="28" spans="1:11" ht="13.5" customHeight="1">
      <c r="A28" s="174">
        <v>2210201</v>
      </c>
      <c r="B28" s="174"/>
      <c r="C28" s="174"/>
      <c r="D28" s="101" t="s">
        <v>381</v>
      </c>
      <c r="E28" s="111">
        <f t="shared" si="1"/>
        <v>39.2022</v>
      </c>
      <c r="F28" s="111">
        <f t="shared" si="1"/>
        <v>39.2022</v>
      </c>
      <c r="G28" s="105"/>
      <c r="H28" s="105"/>
      <c r="I28" s="105"/>
      <c r="J28" s="105"/>
      <c r="K28" s="105"/>
    </row>
    <row r="29" spans="1:11" ht="13.5" customHeight="1">
      <c r="A29" s="174">
        <v>229</v>
      </c>
      <c r="B29" s="174"/>
      <c r="C29" s="174"/>
      <c r="D29" s="101" t="s">
        <v>230</v>
      </c>
      <c r="E29" s="111">
        <f>156207.34/10000</f>
        <v>15.620733999999999</v>
      </c>
      <c r="F29" s="111">
        <f>64557.97/10000</f>
        <v>6.4557970000000005</v>
      </c>
      <c r="G29" s="105"/>
      <c r="H29" s="105"/>
      <c r="I29" s="105"/>
      <c r="J29" s="105"/>
      <c r="K29" s="111">
        <f>91649.37/10000</f>
        <v>9.164937</v>
      </c>
    </row>
    <row r="30" spans="1:11" ht="13.5" customHeight="1">
      <c r="A30" s="174">
        <v>22999</v>
      </c>
      <c r="B30" s="174"/>
      <c r="C30" s="174"/>
      <c r="D30" s="101" t="s">
        <v>230</v>
      </c>
      <c r="E30" s="111">
        <f>156207.34/10000</f>
        <v>15.620733999999999</v>
      </c>
      <c r="F30" s="111">
        <f>64557.97/10000</f>
        <v>6.4557970000000005</v>
      </c>
      <c r="G30" s="105"/>
      <c r="H30" s="105"/>
      <c r="I30" s="105"/>
      <c r="J30" s="105"/>
      <c r="K30" s="111">
        <f>91649.37/10000</f>
        <v>9.164937</v>
      </c>
    </row>
    <row r="31" spans="1:11" ht="13.5" customHeight="1">
      <c r="A31" s="174">
        <v>2299901</v>
      </c>
      <c r="B31" s="174"/>
      <c r="C31" s="174"/>
      <c r="D31" s="101" t="s">
        <v>382</v>
      </c>
      <c r="E31" s="111">
        <f>156207.34/10000</f>
        <v>15.620733999999999</v>
      </c>
      <c r="F31" s="111">
        <f>64557.97/10000</f>
        <v>6.4557970000000005</v>
      </c>
      <c r="G31" s="105"/>
      <c r="H31" s="105"/>
      <c r="I31" s="105"/>
      <c r="J31" s="105"/>
      <c r="K31" s="111">
        <f>91649.37/10000</f>
        <v>9.164937</v>
      </c>
    </row>
    <row r="32" ht="13.5" customHeight="1"/>
    <row r="33" ht="13.5" customHeight="1"/>
    <row r="34" ht="13.5" customHeight="1"/>
    <row r="35" ht="13.5" customHeight="1"/>
  </sheetData>
  <mergeCells count="38">
    <mergeCell ref="A28:C28"/>
    <mergeCell ref="A29:C29"/>
    <mergeCell ref="A30:C30"/>
    <mergeCell ref="A31:C31"/>
    <mergeCell ref="A24:C24"/>
    <mergeCell ref="A25:C25"/>
    <mergeCell ref="A26:C26"/>
    <mergeCell ref="A27:C27"/>
    <mergeCell ref="A20:C20"/>
    <mergeCell ref="A21:C21"/>
    <mergeCell ref="A22:C22"/>
    <mergeCell ref="A23:C23"/>
    <mergeCell ref="A1:K1"/>
    <mergeCell ref="A3:D3"/>
    <mergeCell ref="A8:C8"/>
    <mergeCell ref="A9:C9"/>
    <mergeCell ref="D4:D5"/>
    <mergeCell ref="E3:E5"/>
    <mergeCell ref="F3:F5"/>
    <mergeCell ref="G3:G5"/>
    <mergeCell ref="H3:H5"/>
    <mergeCell ref="I3:I5"/>
    <mergeCell ref="A19:C19"/>
    <mergeCell ref="A6:A7"/>
    <mergeCell ref="B6:B7"/>
    <mergeCell ref="C6:C7"/>
    <mergeCell ref="A14:C14"/>
    <mergeCell ref="A15:C15"/>
    <mergeCell ref="A16:C16"/>
    <mergeCell ref="A17:C17"/>
    <mergeCell ref="A10:C10"/>
    <mergeCell ref="A11:C11"/>
    <mergeCell ref="J3:J5"/>
    <mergeCell ref="K3:K5"/>
    <mergeCell ref="A4:C5"/>
    <mergeCell ref="A18:C18"/>
    <mergeCell ref="A12:C12"/>
    <mergeCell ref="A13:C13"/>
  </mergeCells>
  <printOptions/>
  <pageMargins left="0.55" right="0.16" top="0.36" bottom="0.42" header="0.36" footer="0.2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2"/>
  <sheetViews>
    <sheetView zoomScaleSheetLayoutView="100" workbookViewId="0" topLeftCell="A5">
      <selection activeCell="H21" sqref="H21"/>
    </sheetView>
  </sheetViews>
  <sheetFormatPr defaultColWidth="9.00390625" defaultRowHeight="14.25"/>
  <cols>
    <col min="1" max="1" width="5.75390625" style="0" customWidth="1"/>
    <col min="2" max="2" width="4.875" style="0" customWidth="1"/>
    <col min="3" max="3" width="4.75390625" style="0" customWidth="1"/>
    <col min="4" max="4" width="21.00390625" style="0" customWidth="1"/>
    <col min="5" max="7" width="11.00390625" style="88" customWidth="1"/>
    <col min="8" max="8" width="13.50390625" style="0" customWidth="1"/>
    <col min="9" max="9" width="11.50390625" style="0" customWidth="1"/>
    <col min="10" max="10" width="21.625" style="0" customWidth="1"/>
  </cols>
  <sheetData>
    <row r="1" spans="1:10" ht="27">
      <c r="A1" s="147" t="s">
        <v>189</v>
      </c>
      <c r="B1" s="147"/>
      <c r="C1" s="147"/>
      <c r="D1" s="147"/>
      <c r="E1" s="147"/>
      <c r="F1" s="147"/>
      <c r="G1" s="147"/>
      <c r="H1" s="147"/>
      <c r="I1" s="147"/>
      <c r="J1" s="147"/>
    </row>
    <row r="2" spans="1:10" ht="24" customHeight="1">
      <c r="A2" s="13" t="s">
        <v>176</v>
      </c>
      <c r="B2" s="10"/>
      <c r="C2" s="82" t="s">
        <v>342</v>
      </c>
      <c r="D2" s="10"/>
      <c r="E2" s="92"/>
      <c r="F2" s="11"/>
      <c r="G2" s="92"/>
      <c r="H2" s="10"/>
      <c r="I2" s="10"/>
      <c r="J2" s="12" t="s">
        <v>1</v>
      </c>
    </row>
    <row r="3" spans="1:10" ht="19.5" customHeight="1">
      <c r="A3" s="148" t="s">
        <v>4</v>
      </c>
      <c r="B3" s="149"/>
      <c r="C3" s="149"/>
      <c r="D3" s="149"/>
      <c r="E3" s="150" t="s">
        <v>131</v>
      </c>
      <c r="F3" s="150" t="s">
        <v>190</v>
      </c>
      <c r="G3" s="150" t="s">
        <v>191</v>
      </c>
      <c r="H3" s="150" t="s">
        <v>192</v>
      </c>
      <c r="I3" s="150" t="s">
        <v>193</v>
      </c>
      <c r="J3" s="157" t="s">
        <v>194</v>
      </c>
    </row>
    <row r="4" spans="1:10" ht="19.5" customHeight="1">
      <c r="A4" s="159" t="s">
        <v>195</v>
      </c>
      <c r="B4" s="160"/>
      <c r="C4" s="160"/>
      <c r="D4" s="164" t="s">
        <v>184</v>
      </c>
      <c r="E4" s="160"/>
      <c r="F4" s="160"/>
      <c r="G4" s="160"/>
      <c r="H4" s="160"/>
      <c r="I4" s="160"/>
      <c r="J4" s="158"/>
    </row>
    <row r="5" spans="1:10" ht="19.5" customHeight="1">
      <c r="A5" s="159"/>
      <c r="B5" s="160"/>
      <c r="C5" s="160"/>
      <c r="D5" s="164"/>
      <c r="E5" s="160"/>
      <c r="F5" s="160"/>
      <c r="G5" s="160"/>
      <c r="H5" s="160"/>
      <c r="I5" s="160"/>
      <c r="J5" s="158"/>
    </row>
    <row r="6" spans="1:10" ht="19.5" customHeight="1">
      <c r="A6" s="159"/>
      <c r="B6" s="160"/>
      <c r="C6" s="160"/>
      <c r="D6" s="164"/>
      <c r="E6" s="160"/>
      <c r="F6" s="160"/>
      <c r="G6" s="160"/>
      <c r="H6" s="160"/>
      <c r="I6" s="160"/>
      <c r="J6" s="158"/>
    </row>
    <row r="7" spans="1:10" ht="21.75" customHeight="1">
      <c r="A7" s="162" t="s">
        <v>185</v>
      </c>
      <c r="B7" s="164" t="s">
        <v>186</v>
      </c>
      <c r="C7" s="164" t="s">
        <v>187</v>
      </c>
      <c r="D7" s="15" t="s">
        <v>9</v>
      </c>
      <c r="E7" s="14" t="s">
        <v>11</v>
      </c>
      <c r="F7" s="14" t="s">
        <v>17</v>
      </c>
      <c r="G7" s="14" t="s">
        <v>23</v>
      </c>
      <c r="H7" s="14" t="s">
        <v>29</v>
      </c>
      <c r="I7" s="14" t="s">
        <v>35</v>
      </c>
      <c r="J7" s="16" t="s">
        <v>41</v>
      </c>
    </row>
    <row r="8" spans="1:10" ht="21.75" customHeight="1">
      <c r="A8" s="163"/>
      <c r="B8" s="165"/>
      <c r="C8" s="165"/>
      <c r="D8" s="89" t="s">
        <v>188</v>
      </c>
      <c r="E8" s="115">
        <f>157847261.18/10000</f>
        <v>15784.726118</v>
      </c>
      <c r="F8" s="115">
        <f>9223580.73/10000</f>
        <v>922.358073</v>
      </c>
      <c r="G8" s="115">
        <f>148623680.45/10000</f>
        <v>14862.368045</v>
      </c>
      <c r="H8" s="90"/>
      <c r="I8" s="90"/>
      <c r="J8" s="91"/>
    </row>
    <row r="9" spans="1:10" ht="15.75" customHeight="1">
      <c r="A9" s="161">
        <v>201</v>
      </c>
      <c r="B9" s="161">
        <v>201</v>
      </c>
      <c r="C9" s="161">
        <v>201</v>
      </c>
      <c r="D9" s="114" t="s">
        <v>359</v>
      </c>
      <c r="E9" s="116">
        <f aca="true" t="shared" si="0" ref="E9:F11">73950/10000</f>
        <v>7.395</v>
      </c>
      <c r="F9" s="116">
        <f t="shared" si="0"/>
        <v>7.395</v>
      </c>
      <c r="G9" s="105"/>
      <c r="H9" s="112"/>
      <c r="I9" s="112"/>
      <c r="J9" s="112"/>
    </row>
    <row r="10" spans="1:10" ht="15.75" customHeight="1">
      <c r="A10" s="161">
        <v>20199</v>
      </c>
      <c r="B10" s="161">
        <v>20199</v>
      </c>
      <c r="C10" s="161">
        <v>20199</v>
      </c>
      <c r="D10" s="114" t="s">
        <v>345</v>
      </c>
      <c r="E10" s="116">
        <f t="shared" si="0"/>
        <v>7.395</v>
      </c>
      <c r="F10" s="116">
        <f t="shared" si="0"/>
        <v>7.395</v>
      </c>
      <c r="G10" s="105"/>
      <c r="H10" s="112"/>
      <c r="I10" s="112"/>
      <c r="J10" s="112"/>
    </row>
    <row r="11" spans="1:10" ht="15.75" customHeight="1">
      <c r="A11" s="161">
        <v>2019999</v>
      </c>
      <c r="B11" s="161">
        <v>2019999</v>
      </c>
      <c r="C11" s="161">
        <v>2019999</v>
      </c>
      <c r="D11" s="102" t="s">
        <v>346</v>
      </c>
      <c r="E11" s="116">
        <f t="shared" si="0"/>
        <v>7.395</v>
      </c>
      <c r="F11" s="116">
        <f t="shared" si="0"/>
        <v>7.395</v>
      </c>
      <c r="G11" s="105"/>
      <c r="H11" s="112"/>
      <c r="I11" s="112"/>
      <c r="J11" s="112"/>
    </row>
    <row r="12" spans="1:10" ht="15.75" customHeight="1">
      <c r="A12" s="161">
        <v>208</v>
      </c>
      <c r="B12" s="161">
        <v>208</v>
      </c>
      <c r="C12" s="161">
        <v>208</v>
      </c>
      <c r="D12" s="114" t="s">
        <v>347</v>
      </c>
      <c r="E12" s="116">
        <f>4009211.1/10000</f>
        <v>400.92111</v>
      </c>
      <c r="F12" s="116">
        <f>2291727.18/10000</f>
        <v>229.172718</v>
      </c>
      <c r="G12" s="111">
        <f>1717483.92/10000</f>
        <v>171.748392</v>
      </c>
      <c r="H12" s="112"/>
      <c r="I12" s="112"/>
      <c r="J12" s="112"/>
    </row>
    <row r="13" spans="1:10" ht="15.75" customHeight="1">
      <c r="A13" s="161">
        <v>20805</v>
      </c>
      <c r="B13" s="161">
        <v>20805</v>
      </c>
      <c r="C13" s="161">
        <v>20805</v>
      </c>
      <c r="D13" s="114" t="s">
        <v>348</v>
      </c>
      <c r="E13" s="116">
        <f>2291727.18/10000</f>
        <v>229.172718</v>
      </c>
      <c r="F13" s="116">
        <f>2291727.18/10000</f>
        <v>229.172718</v>
      </c>
      <c r="G13" s="105"/>
      <c r="H13" s="112"/>
      <c r="I13" s="112"/>
      <c r="J13" s="112"/>
    </row>
    <row r="14" spans="1:10" ht="15.75" customHeight="1">
      <c r="A14" s="161">
        <v>2080501</v>
      </c>
      <c r="B14" s="161">
        <v>2080501</v>
      </c>
      <c r="C14" s="161">
        <v>2080501</v>
      </c>
      <c r="D14" s="114" t="s">
        <v>383</v>
      </c>
      <c r="E14" s="116">
        <f>2291727.18/10000</f>
        <v>229.172718</v>
      </c>
      <c r="F14" s="116">
        <f>2291727.18/10000</f>
        <v>229.172718</v>
      </c>
      <c r="G14" s="105"/>
      <c r="H14" s="112"/>
      <c r="I14" s="112"/>
      <c r="J14" s="112"/>
    </row>
    <row r="15" spans="1:10" ht="15.75" customHeight="1">
      <c r="A15" s="161">
        <v>20806</v>
      </c>
      <c r="B15" s="161">
        <v>20806</v>
      </c>
      <c r="C15" s="161">
        <v>20806</v>
      </c>
      <c r="D15" s="114" t="s">
        <v>366</v>
      </c>
      <c r="E15" s="116">
        <f>967483.92/10000</f>
        <v>96.74839200000001</v>
      </c>
      <c r="F15" s="116"/>
      <c r="G15" s="116">
        <f>967483.92/10000</f>
        <v>96.74839200000001</v>
      </c>
      <c r="H15" s="112"/>
      <c r="I15" s="112"/>
      <c r="J15" s="112"/>
    </row>
    <row r="16" spans="1:10" ht="15.75" customHeight="1">
      <c r="A16" s="161">
        <v>2080601</v>
      </c>
      <c r="B16" s="161">
        <v>2080601</v>
      </c>
      <c r="C16" s="161">
        <v>2080601</v>
      </c>
      <c r="D16" s="114" t="s">
        <v>365</v>
      </c>
      <c r="E16" s="116">
        <f>967483.92/10000</f>
        <v>96.74839200000001</v>
      </c>
      <c r="F16" s="112"/>
      <c r="G16" s="116">
        <f>967483.92/10000</f>
        <v>96.74839200000001</v>
      </c>
      <c r="H16" s="112"/>
      <c r="I16" s="112"/>
      <c r="J16" s="112"/>
    </row>
    <row r="17" spans="1:10" ht="15.75" customHeight="1">
      <c r="A17" s="161">
        <v>20899</v>
      </c>
      <c r="B17" s="161">
        <v>20899</v>
      </c>
      <c r="C17" s="161">
        <v>20899</v>
      </c>
      <c r="D17" s="114" t="s">
        <v>350</v>
      </c>
      <c r="E17" s="116">
        <f>750000/10000</f>
        <v>75</v>
      </c>
      <c r="F17" s="116"/>
      <c r="G17" s="116">
        <f>750000/10000</f>
        <v>75</v>
      </c>
      <c r="H17" s="112"/>
      <c r="I17" s="112"/>
      <c r="J17" s="112"/>
    </row>
    <row r="18" spans="1:10" ht="15.75" customHeight="1">
      <c r="A18" s="161">
        <v>2089901</v>
      </c>
      <c r="B18" s="161">
        <v>2089901</v>
      </c>
      <c r="C18" s="161">
        <v>2089901</v>
      </c>
      <c r="D18" s="102" t="s">
        <v>384</v>
      </c>
      <c r="E18" s="116">
        <f>750000/10000</f>
        <v>75</v>
      </c>
      <c r="F18" s="116"/>
      <c r="G18" s="116">
        <f>750000/10000</f>
        <v>75</v>
      </c>
      <c r="H18" s="112"/>
      <c r="I18" s="112"/>
      <c r="J18" s="112"/>
    </row>
    <row r="19" spans="1:10" ht="15.75" customHeight="1">
      <c r="A19" s="161">
        <v>211</v>
      </c>
      <c r="B19" s="161">
        <v>211</v>
      </c>
      <c r="C19" s="161">
        <v>211</v>
      </c>
      <c r="D19" s="114" t="s">
        <v>364</v>
      </c>
      <c r="E19" s="116">
        <f>151573751.19/10000</f>
        <v>15157.375119</v>
      </c>
      <c r="F19" s="116">
        <f>6309674.21/10000</f>
        <v>630.967421</v>
      </c>
      <c r="G19" s="111">
        <f>145264076.98/10000</f>
        <v>14526.407697999999</v>
      </c>
      <c r="H19" s="112"/>
      <c r="I19" s="112"/>
      <c r="J19" s="112"/>
    </row>
    <row r="20" spans="1:10" ht="15.75" customHeight="1">
      <c r="A20" s="151">
        <v>21101</v>
      </c>
      <c r="B20" s="151">
        <v>21101</v>
      </c>
      <c r="C20" s="151">
        <v>21101</v>
      </c>
      <c r="D20" s="101" t="s">
        <v>363</v>
      </c>
      <c r="E20" s="111">
        <f>6389674.21/10000</f>
        <v>638.967421</v>
      </c>
      <c r="F20" s="111">
        <f>6309674.21/10000</f>
        <v>630.967421</v>
      </c>
      <c r="G20" s="111">
        <f>80000/10000</f>
        <v>8</v>
      </c>
      <c r="H20" s="105"/>
      <c r="I20" s="105"/>
      <c r="J20" s="105"/>
    </row>
    <row r="21" spans="1:10" ht="15.75" customHeight="1">
      <c r="A21" s="151">
        <v>2110101</v>
      </c>
      <c r="B21" s="151">
        <v>2110101</v>
      </c>
      <c r="C21" s="151">
        <v>2110101</v>
      </c>
      <c r="D21" s="101" t="s">
        <v>362</v>
      </c>
      <c r="E21" s="111">
        <f>6309674.21/10000</f>
        <v>630.967421</v>
      </c>
      <c r="F21" s="111">
        <f>6309674.21/10000</f>
        <v>630.967421</v>
      </c>
      <c r="G21" s="105"/>
      <c r="H21" s="105"/>
      <c r="I21" s="105"/>
      <c r="J21" s="105"/>
    </row>
    <row r="22" spans="1:10" ht="15.75" customHeight="1">
      <c r="A22" s="151">
        <v>2110104</v>
      </c>
      <c r="B22" s="151">
        <v>2110104</v>
      </c>
      <c r="C22" s="151">
        <v>2110104</v>
      </c>
      <c r="D22" s="101" t="s">
        <v>361</v>
      </c>
      <c r="E22" s="111">
        <f>80000/10000</f>
        <v>8</v>
      </c>
      <c r="F22" s="105"/>
      <c r="G22" s="111">
        <f>80000/10000</f>
        <v>8</v>
      </c>
      <c r="H22" s="105"/>
      <c r="I22" s="105"/>
      <c r="J22" s="105"/>
    </row>
    <row r="23" spans="1:10" ht="15.75" customHeight="1">
      <c r="A23" s="151">
        <v>21103</v>
      </c>
      <c r="B23" s="151">
        <v>21103</v>
      </c>
      <c r="C23" s="151">
        <v>21103</v>
      </c>
      <c r="D23" s="101" t="s">
        <v>360</v>
      </c>
      <c r="E23" s="111">
        <f>145184076.98/10000</f>
        <v>14518.407697999999</v>
      </c>
      <c r="F23" s="105"/>
      <c r="G23" s="111">
        <f>145184076.98/10000</f>
        <v>14518.407697999999</v>
      </c>
      <c r="H23" s="105"/>
      <c r="I23" s="105"/>
      <c r="J23" s="105"/>
    </row>
    <row r="24" spans="1:10" ht="15.75" customHeight="1">
      <c r="A24" s="151">
        <v>2110301</v>
      </c>
      <c r="B24" s="151">
        <v>2110301</v>
      </c>
      <c r="C24" s="151">
        <v>2110301</v>
      </c>
      <c r="D24" s="101" t="s">
        <v>367</v>
      </c>
      <c r="E24" s="111">
        <f>777000/10000</f>
        <v>77.7</v>
      </c>
      <c r="F24" s="105"/>
      <c r="G24" s="111">
        <f>777000/10000</f>
        <v>77.7</v>
      </c>
      <c r="H24" s="105"/>
      <c r="I24" s="105"/>
      <c r="J24" s="105"/>
    </row>
    <row r="25" spans="1:10" ht="15.75" customHeight="1">
      <c r="A25" s="151">
        <v>2110307</v>
      </c>
      <c r="B25" s="151">
        <v>2110307</v>
      </c>
      <c r="C25" s="151">
        <v>2110307</v>
      </c>
      <c r="D25" s="101" t="s">
        <v>354</v>
      </c>
      <c r="E25" s="111">
        <f>2699425.2/10000</f>
        <v>269.94252</v>
      </c>
      <c r="F25" s="105"/>
      <c r="G25" s="111">
        <f>2699425.2/10000</f>
        <v>269.94252</v>
      </c>
      <c r="H25" s="105"/>
      <c r="I25" s="105"/>
      <c r="J25" s="105"/>
    </row>
    <row r="26" spans="1:10" ht="15.75" customHeight="1">
      <c r="A26" s="151">
        <v>2110399</v>
      </c>
      <c r="B26" s="151">
        <v>2110399</v>
      </c>
      <c r="C26" s="151">
        <v>2110399</v>
      </c>
      <c r="D26" s="101" t="s">
        <v>355</v>
      </c>
      <c r="E26" s="111">
        <f>141707651.78/10000</f>
        <v>14170.765178</v>
      </c>
      <c r="F26" s="105"/>
      <c r="G26" s="111">
        <f>141707651.78/10000</f>
        <v>14170.765178</v>
      </c>
      <c r="H26" s="105"/>
      <c r="I26" s="105"/>
      <c r="J26" s="105"/>
    </row>
    <row r="27" spans="1:10" ht="15.75" customHeight="1">
      <c r="A27" s="151">
        <v>221</v>
      </c>
      <c r="B27" s="151">
        <v>221</v>
      </c>
      <c r="C27" s="151">
        <v>221</v>
      </c>
      <c r="D27" s="101" t="s">
        <v>356</v>
      </c>
      <c r="E27" s="111">
        <f aca="true" t="shared" si="1" ref="E27:F29">392022/10000</f>
        <v>39.2022</v>
      </c>
      <c r="F27" s="111">
        <f t="shared" si="1"/>
        <v>39.2022</v>
      </c>
      <c r="G27" s="105"/>
      <c r="H27" s="105"/>
      <c r="I27" s="105"/>
      <c r="J27" s="105"/>
    </row>
    <row r="28" spans="1:10" ht="15.75" customHeight="1">
      <c r="A28" s="151">
        <v>22102</v>
      </c>
      <c r="B28" s="151">
        <v>22102</v>
      </c>
      <c r="C28" s="151">
        <v>22102</v>
      </c>
      <c r="D28" s="101" t="s">
        <v>357</v>
      </c>
      <c r="E28" s="111">
        <f t="shared" si="1"/>
        <v>39.2022</v>
      </c>
      <c r="F28" s="111">
        <f t="shared" si="1"/>
        <v>39.2022</v>
      </c>
      <c r="G28" s="105"/>
      <c r="H28" s="105"/>
      <c r="I28" s="105"/>
      <c r="J28" s="105"/>
    </row>
    <row r="29" spans="1:10" ht="15.75" customHeight="1">
      <c r="A29" s="151">
        <v>2210201</v>
      </c>
      <c r="B29" s="151">
        <v>2210201</v>
      </c>
      <c r="C29" s="151">
        <v>2210201</v>
      </c>
      <c r="D29" s="101" t="s">
        <v>358</v>
      </c>
      <c r="E29" s="111">
        <f t="shared" si="1"/>
        <v>39.2022</v>
      </c>
      <c r="F29" s="111">
        <f t="shared" si="1"/>
        <v>39.2022</v>
      </c>
      <c r="G29" s="105"/>
      <c r="H29" s="105"/>
      <c r="I29" s="105"/>
      <c r="J29" s="105"/>
    </row>
    <row r="30" spans="1:10" ht="15.75" customHeight="1">
      <c r="A30" s="151">
        <v>229</v>
      </c>
      <c r="B30" s="151">
        <v>229</v>
      </c>
      <c r="C30" s="151">
        <v>229</v>
      </c>
      <c r="D30" s="101" t="s">
        <v>230</v>
      </c>
      <c r="E30" s="111">
        <f>1798326.89/10000</f>
        <v>179.832689</v>
      </c>
      <c r="F30" s="111">
        <f>156207.34/10000</f>
        <v>15.620733999999999</v>
      </c>
      <c r="G30" s="111">
        <f>1642119.55/10000</f>
        <v>164.21195500000002</v>
      </c>
      <c r="H30" s="105"/>
      <c r="I30" s="105"/>
      <c r="J30" s="105"/>
    </row>
    <row r="31" spans="1:10" ht="15.75" customHeight="1">
      <c r="A31" s="151">
        <v>22999</v>
      </c>
      <c r="B31" s="151">
        <v>22999</v>
      </c>
      <c r="C31" s="151">
        <v>22999</v>
      </c>
      <c r="D31" s="101" t="s">
        <v>230</v>
      </c>
      <c r="E31" s="111">
        <f>1798326.89/10000</f>
        <v>179.832689</v>
      </c>
      <c r="F31" s="111">
        <f>156207.34/10000</f>
        <v>15.620733999999999</v>
      </c>
      <c r="G31" s="111">
        <f>1642119.55/10000</f>
        <v>164.21195500000002</v>
      </c>
      <c r="H31" s="105"/>
      <c r="I31" s="105"/>
      <c r="J31" s="105"/>
    </row>
    <row r="32" spans="1:10" ht="15.75" customHeight="1">
      <c r="A32" s="151">
        <v>2299901</v>
      </c>
      <c r="B32" s="151">
        <v>2299901</v>
      </c>
      <c r="C32" s="151">
        <v>2299901</v>
      </c>
      <c r="D32" s="101" t="s">
        <v>124</v>
      </c>
      <c r="E32" s="111">
        <f>1798326.89/10000</f>
        <v>179.832689</v>
      </c>
      <c r="F32" s="111">
        <f>156207.34/10000</f>
        <v>15.620733999999999</v>
      </c>
      <c r="G32" s="111">
        <f>1642119.55/10000</f>
        <v>164.21195500000002</v>
      </c>
      <c r="H32" s="105"/>
      <c r="I32" s="105"/>
      <c r="J32" s="105"/>
    </row>
    <row r="33" ht="15.75" customHeight="1"/>
    <row r="34" ht="15.75" customHeight="1"/>
    <row r="35" ht="15.75" customHeight="1"/>
  </sheetData>
  <mergeCells count="37">
    <mergeCell ref="A32:C32"/>
    <mergeCell ref="A28:C28"/>
    <mergeCell ref="A29:C29"/>
    <mergeCell ref="A30:C30"/>
    <mergeCell ref="A31:C31"/>
    <mergeCell ref="A24:C24"/>
    <mergeCell ref="A25:C25"/>
    <mergeCell ref="A26:C26"/>
    <mergeCell ref="A27:C27"/>
    <mergeCell ref="A20:C20"/>
    <mergeCell ref="A21:C21"/>
    <mergeCell ref="A22:C22"/>
    <mergeCell ref="A23:C23"/>
    <mergeCell ref="A1:J1"/>
    <mergeCell ref="A3:D3"/>
    <mergeCell ref="A9:C9"/>
    <mergeCell ref="A10:C10"/>
    <mergeCell ref="D4:D6"/>
    <mergeCell ref="E3:E6"/>
    <mergeCell ref="F3:F6"/>
    <mergeCell ref="G3:G6"/>
    <mergeCell ref="H3:H6"/>
    <mergeCell ref="I3:I6"/>
    <mergeCell ref="A11:C11"/>
    <mergeCell ref="A12:C12"/>
    <mergeCell ref="A13:C13"/>
    <mergeCell ref="A14:C14"/>
    <mergeCell ref="J3:J6"/>
    <mergeCell ref="A4:C6"/>
    <mergeCell ref="A19:C19"/>
    <mergeCell ref="A7:A8"/>
    <mergeCell ref="B7:B8"/>
    <mergeCell ref="C7:C8"/>
    <mergeCell ref="A15:C15"/>
    <mergeCell ref="A16:C16"/>
    <mergeCell ref="A17:C17"/>
    <mergeCell ref="A18:C18"/>
  </mergeCells>
  <printOptions/>
  <pageMargins left="0.75" right="0.75" top="0.22" bottom="0.16" header="0.25" footer="0.16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7"/>
  <sheetViews>
    <sheetView zoomScaleSheetLayoutView="100" workbookViewId="0" topLeftCell="A1">
      <selection activeCell="F7" activeCellId="1" sqref="C7:C37 F7:G36"/>
    </sheetView>
  </sheetViews>
  <sheetFormatPr defaultColWidth="9.00390625" defaultRowHeight="14.25"/>
  <cols>
    <col min="1" max="1" width="20.50390625" style="0" customWidth="1"/>
    <col min="2" max="2" width="4.375" style="0" bestFit="1" customWidth="1"/>
    <col min="3" max="3" width="9.75390625" style="88" customWidth="1"/>
    <col min="4" max="4" width="19.375" style="0" customWidth="1"/>
    <col min="5" max="5" width="4.375" style="0" bestFit="1" customWidth="1"/>
    <col min="6" max="7" width="10.125" style="88" customWidth="1"/>
    <col min="8" max="8" width="9.625" style="0" customWidth="1"/>
  </cols>
  <sheetData>
    <row r="1" spans="1:8" ht="27" customHeight="1">
      <c r="A1" s="152" t="s">
        <v>196</v>
      </c>
      <c r="B1" s="152"/>
      <c r="C1" s="152"/>
      <c r="D1" s="152"/>
      <c r="E1" s="152"/>
      <c r="F1" s="152"/>
      <c r="G1" s="152"/>
      <c r="H1" s="152"/>
    </row>
    <row r="2" spans="1:8" ht="15" customHeight="1">
      <c r="A2" s="21" t="s">
        <v>343</v>
      </c>
      <c r="B2" s="19"/>
      <c r="C2" s="93"/>
      <c r="D2" s="19"/>
      <c r="E2" s="19"/>
      <c r="F2" s="20"/>
      <c r="G2" s="93"/>
      <c r="H2" s="18" t="s">
        <v>1</v>
      </c>
    </row>
    <row r="3" spans="1:8" ht="15" customHeight="1">
      <c r="A3" s="179" t="s">
        <v>197</v>
      </c>
      <c r="B3" s="179"/>
      <c r="C3" s="179"/>
      <c r="D3" s="179" t="s">
        <v>198</v>
      </c>
      <c r="E3" s="179"/>
      <c r="F3" s="179"/>
      <c r="G3" s="179"/>
      <c r="H3" s="179"/>
    </row>
    <row r="4" spans="1:8" ht="15" customHeight="1">
      <c r="A4" s="180" t="s">
        <v>199</v>
      </c>
      <c r="B4" s="180" t="s">
        <v>5</v>
      </c>
      <c r="C4" s="180" t="s">
        <v>6</v>
      </c>
      <c r="D4" s="180" t="s">
        <v>200</v>
      </c>
      <c r="E4" s="180" t="s">
        <v>5</v>
      </c>
      <c r="F4" s="179" t="s">
        <v>6</v>
      </c>
      <c r="G4" s="179"/>
      <c r="H4" s="179"/>
    </row>
    <row r="5" spans="1:8" ht="30" customHeight="1">
      <c r="A5" s="180"/>
      <c r="B5" s="180"/>
      <c r="C5" s="180"/>
      <c r="D5" s="180"/>
      <c r="E5" s="180"/>
      <c r="F5" s="23" t="s">
        <v>201</v>
      </c>
      <c r="G5" s="30" t="s">
        <v>202</v>
      </c>
      <c r="H5" s="30" t="s">
        <v>203</v>
      </c>
    </row>
    <row r="6" spans="1:8" ht="18" customHeight="1">
      <c r="A6" s="23" t="s">
        <v>204</v>
      </c>
      <c r="B6" s="23"/>
      <c r="C6" s="23">
        <v>1</v>
      </c>
      <c r="D6" s="23" t="s">
        <v>204</v>
      </c>
      <c r="E6" s="23"/>
      <c r="F6" s="23">
        <v>2</v>
      </c>
      <c r="G6" s="23">
        <v>3</v>
      </c>
      <c r="H6" s="23">
        <v>4</v>
      </c>
    </row>
    <row r="7" spans="1:8" ht="18" customHeight="1">
      <c r="A7" s="28" t="s">
        <v>205</v>
      </c>
      <c r="B7" s="23" t="s">
        <v>11</v>
      </c>
      <c r="C7" s="24">
        <f>155393715.58/10000</f>
        <v>15539.371558</v>
      </c>
      <c r="D7" s="28" t="s">
        <v>12</v>
      </c>
      <c r="E7" s="23" t="s">
        <v>166</v>
      </c>
      <c r="F7" s="24">
        <f>73950/10000</f>
        <v>7.395</v>
      </c>
      <c r="G7" s="24">
        <f>73950/10000</f>
        <v>7.395</v>
      </c>
      <c r="H7" s="27"/>
    </row>
    <row r="8" spans="1:8" ht="18" customHeight="1">
      <c r="A8" s="28" t="s">
        <v>206</v>
      </c>
      <c r="B8" s="23" t="s">
        <v>17</v>
      </c>
      <c r="C8" s="24"/>
      <c r="D8" s="28" t="s">
        <v>18</v>
      </c>
      <c r="E8" s="23" t="s">
        <v>168</v>
      </c>
      <c r="F8" s="27"/>
      <c r="G8" s="27"/>
      <c r="H8" s="27"/>
    </row>
    <row r="9" spans="1:8" ht="18" customHeight="1">
      <c r="A9" s="28"/>
      <c r="B9" s="23" t="s">
        <v>23</v>
      </c>
      <c r="C9" s="27"/>
      <c r="D9" s="28" t="s">
        <v>24</v>
      </c>
      <c r="E9" s="23" t="s">
        <v>170</v>
      </c>
      <c r="F9" s="24"/>
      <c r="G9" s="24"/>
      <c r="H9" s="27"/>
    </row>
    <row r="10" spans="1:8" ht="18" customHeight="1">
      <c r="A10" s="28"/>
      <c r="B10" s="23" t="s">
        <v>29</v>
      </c>
      <c r="C10" s="27"/>
      <c r="D10" s="28" t="s">
        <v>30</v>
      </c>
      <c r="E10" s="23" t="s">
        <v>207</v>
      </c>
      <c r="F10" s="24"/>
      <c r="G10" s="24"/>
      <c r="H10" s="27"/>
    </row>
    <row r="11" spans="1:8" ht="18" customHeight="1">
      <c r="A11" s="28"/>
      <c r="B11" s="23" t="s">
        <v>35</v>
      </c>
      <c r="C11" s="27"/>
      <c r="D11" s="28" t="s">
        <v>36</v>
      </c>
      <c r="E11" s="23" t="s">
        <v>208</v>
      </c>
      <c r="F11" s="24"/>
      <c r="G11" s="24"/>
      <c r="H11" s="24"/>
    </row>
    <row r="12" spans="1:8" ht="18" customHeight="1">
      <c r="A12" s="28"/>
      <c r="B12" s="23" t="s">
        <v>41</v>
      </c>
      <c r="C12" s="27"/>
      <c r="D12" s="28" t="s">
        <v>42</v>
      </c>
      <c r="E12" s="23" t="s">
        <v>173</v>
      </c>
      <c r="F12" s="24"/>
      <c r="G12" s="24"/>
      <c r="H12" s="27"/>
    </row>
    <row r="13" spans="1:8" ht="18" customHeight="1">
      <c r="A13" s="28"/>
      <c r="B13" s="23" t="s">
        <v>47</v>
      </c>
      <c r="C13" s="27"/>
      <c r="D13" s="28" t="s">
        <v>48</v>
      </c>
      <c r="E13" s="23" t="s">
        <v>13</v>
      </c>
      <c r="F13" s="24"/>
      <c r="G13" s="24"/>
      <c r="H13" s="24"/>
    </row>
    <row r="14" spans="1:8" ht="18" customHeight="1">
      <c r="A14" s="28"/>
      <c r="B14" s="23" t="s">
        <v>52</v>
      </c>
      <c r="C14" s="27"/>
      <c r="D14" s="28" t="s">
        <v>53</v>
      </c>
      <c r="E14" s="23" t="s">
        <v>19</v>
      </c>
      <c r="F14" s="24">
        <f>4009211.1/10000</f>
        <v>400.92111</v>
      </c>
      <c r="G14" s="24">
        <f>4009211.1/10000</f>
        <v>400.92111</v>
      </c>
      <c r="H14" s="24"/>
    </row>
    <row r="15" spans="1:8" ht="18" customHeight="1">
      <c r="A15" s="28"/>
      <c r="B15" s="23" t="s">
        <v>57</v>
      </c>
      <c r="C15" s="27"/>
      <c r="D15" s="29" t="s">
        <v>58</v>
      </c>
      <c r="E15" s="23" t="s">
        <v>25</v>
      </c>
      <c r="F15" s="24"/>
      <c r="G15" s="24"/>
      <c r="H15" s="27"/>
    </row>
    <row r="16" spans="1:8" ht="18" customHeight="1">
      <c r="A16" s="28"/>
      <c r="B16" s="23" t="s">
        <v>62</v>
      </c>
      <c r="C16" s="27"/>
      <c r="D16" s="28" t="s">
        <v>63</v>
      </c>
      <c r="E16" s="23" t="s">
        <v>31</v>
      </c>
      <c r="F16" s="24">
        <f>151573751.19/10000</f>
        <v>15157.375119</v>
      </c>
      <c r="G16" s="24">
        <f>151573751.19/10000</f>
        <v>15157.375119</v>
      </c>
      <c r="H16" s="27"/>
    </row>
    <row r="17" spans="1:8" ht="18" customHeight="1">
      <c r="A17" s="28"/>
      <c r="B17" s="23" t="s">
        <v>66</v>
      </c>
      <c r="C17" s="27"/>
      <c r="D17" s="28" t="s">
        <v>67</v>
      </c>
      <c r="E17" s="23" t="s">
        <v>37</v>
      </c>
      <c r="F17" s="24"/>
      <c r="G17" s="24"/>
      <c r="H17" s="24"/>
    </row>
    <row r="18" spans="1:8" ht="18" customHeight="1">
      <c r="A18" s="28"/>
      <c r="B18" s="23" t="s">
        <v>71</v>
      </c>
      <c r="C18" s="27"/>
      <c r="D18" s="28" t="s">
        <v>72</v>
      </c>
      <c r="E18" s="23" t="s">
        <v>43</v>
      </c>
      <c r="F18" s="24"/>
      <c r="G18" s="24"/>
      <c r="H18" s="24"/>
    </row>
    <row r="19" spans="1:8" ht="18" customHeight="1">
      <c r="A19" s="28"/>
      <c r="B19" s="23" t="s">
        <v>76</v>
      </c>
      <c r="C19" s="27"/>
      <c r="D19" s="28" t="s">
        <v>77</v>
      </c>
      <c r="E19" s="23" t="s">
        <v>49</v>
      </c>
      <c r="F19" s="24"/>
      <c r="G19" s="24"/>
      <c r="H19" s="27"/>
    </row>
    <row r="20" spans="1:8" ht="18" customHeight="1">
      <c r="A20" s="28"/>
      <c r="B20" s="23" t="s">
        <v>81</v>
      </c>
      <c r="C20" s="27"/>
      <c r="D20" s="28" t="s">
        <v>82</v>
      </c>
      <c r="E20" s="23" t="s">
        <v>54</v>
      </c>
      <c r="F20" s="24"/>
      <c r="G20" s="24"/>
      <c r="H20" s="24"/>
    </row>
    <row r="21" spans="1:8" ht="18" customHeight="1">
      <c r="A21" s="28"/>
      <c r="B21" s="23" t="s">
        <v>86</v>
      </c>
      <c r="C21" s="27"/>
      <c r="D21" s="28" t="s">
        <v>87</v>
      </c>
      <c r="E21" s="23" t="s">
        <v>59</v>
      </c>
      <c r="F21" s="24"/>
      <c r="G21" s="24"/>
      <c r="H21" s="27"/>
    </row>
    <row r="22" spans="1:8" ht="18" customHeight="1">
      <c r="A22" s="28"/>
      <c r="B22" s="23" t="s">
        <v>91</v>
      </c>
      <c r="C22" s="27"/>
      <c r="D22" s="28" t="s">
        <v>92</v>
      </c>
      <c r="E22" s="23" t="s">
        <v>64</v>
      </c>
      <c r="F22" s="24"/>
      <c r="G22" s="24"/>
      <c r="H22" s="27"/>
    </row>
    <row r="23" spans="1:8" ht="18" customHeight="1">
      <c r="A23" s="28"/>
      <c r="B23" s="23" t="s">
        <v>96</v>
      </c>
      <c r="C23" s="27"/>
      <c r="D23" s="28" t="s">
        <v>97</v>
      </c>
      <c r="E23" s="23" t="s">
        <v>68</v>
      </c>
      <c r="F23" s="27"/>
      <c r="G23" s="27"/>
      <c r="H23" s="27"/>
    </row>
    <row r="24" spans="1:8" ht="18" customHeight="1">
      <c r="A24" s="28"/>
      <c r="B24" s="23" t="s">
        <v>101</v>
      </c>
      <c r="C24" s="27"/>
      <c r="D24" s="28" t="s">
        <v>102</v>
      </c>
      <c r="E24" s="23" t="s">
        <v>73</v>
      </c>
      <c r="F24" s="24"/>
      <c r="G24" s="24"/>
      <c r="H24" s="27"/>
    </row>
    <row r="25" spans="1:8" ht="18" customHeight="1">
      <c r="A25" s="28"/>
      <c r="B25" s="23" t="s">
        <v>106</v>
      </c>
      <c r="C25" s="27"/>
      <c r="D25" s="28" t="s">
        <v>107</v>
      </c>
      <c r="E25" s="23" t="s">
        <v>78</v>
      </c>
      <c r="F25" s="24">
        <f>392022/10000</f>
        <v>39.2022</v>
      </c>
      <c r="G25" s="24">
        <f>392022/10000</f>
        <v>39.2022</v>
      </c>
      <c r="H25" s="27"/>
    </row>
    <row r="26" spans="1:8" ht="18" customHeight="1">
      <c r="A26" s="28"/>
      <c r="B26" s="23" t="s">
        <v>111</v>
      </c>
      <c r="C26" s="27"/>
      <c r="D26" s="28" t="s">
        <v>112</v>
      </c>
      <c r="E26" s="23" t="s">
        <v>83</v>
      </c>
      <c r="F26" s="24"/>
      <c r="G26" s="24"/>
      <c r="H26" s="27"/>
    </row>
    <row r="27" spans="1:8" ht="18" customHeight="1">
      <c r="A27" s="28"/>
      <c r="B27" s="23" t="s">
        <v>116</v>
      </c>
      <c r="C27" s="27"/>
      <c r="D27" s="28" t="s">
        <v>117</v>
      </c>
      <c r="E27" s="23" t="s">
        <v>88</v>
      </c>
      <c r="F27" s="24">
        <f>64557.97/10000</f>
        <v>6.4557970000000005</v>
      </c>
      <c r="G27" s="24">
        <f>64557.97/10000</f>
        <v>6.4557970000000005</v>
      </c>
      <c r="H27" s="27"/>
    </row>
    <row r="28" spans="1:8" ht="18" customHeight="1">
      <c r="A28" s="28"/>
      <c r="B28" s="23" t="s">
        <v>121</v>
      </c>
      <c r="C28" s="27"/>
      <c r="D28" s="28" t="s">
        <v>122</v>
      </c>
      <c r="E28" s="23" t="s">
        <v>93</v>
      </c>
      <c r="F28" s="24"/>
      <c r="G28" s="24"/>
      <c r="H28" s="24"/>
    </row>
    <row r="29" spans="1:8" ht="18" customHeight="1">
      <c r="A29" s="28"/>
      <c r="B29" s="23" t="s">
        <v>126</v>
      </c>
      <c r="C29" s="27"/>
      <c r="D29" s="28"/>
      <c r="E29" s="23" t="s">
        <v>98</v>
      </c>
      <c r="F29" s="27"/>
      <c r="G29" s="27"/>
      <c r="H29" s="27"/>
    </row>
    <row r="30" spans="1:8" ht="18" customHeight="1">
      <c r="A30" s="25" t="s">
        <v>129</v>
      </c>
      <c r="B30" s="23" t="s">
        <v>130</v>
      </c>
      <c r="C30" s="117">
        <f>155393715.58/10000</f>
        <v>15539.371558</v>
      </c>
      <c r="D30" s="22" t="s">
        <v>131</v>
      </c>
      <c r="E30" s="23" t="s">
        <v>103</v>
      </c>
      <c r="F30" s="119">
        <f>156113492.26/10000</f>
        <v>15611.349225999998</v>
      </c>
      <c r="G30" s="119">
        <f>156113492.26/10000</f>
        <v>15611.349225999998</v>
      </c>
      <c r="H30" s="22"/>
    </row>
    <row r="31" spans="1:8" ht="18" customHeight="1">
      <c r="A31" s="28"/>
      <c r="B31" s="23" t="s">
        <v>134</v>
      </c>
      <c r="C31" s="27"/>
      <c r="D31" s="26"/>
      <c r="E31" s="23" t="s">
        <v>108</v>
      </c>
      <c r="F31" s="120"/>
      <c r="G31" s="120"/>
      <c r="H31" s="26"/>
    </row>
    <row r="32" spans="1:8" ht="18" customHeight="1">
      <c r="A32" s="28" t="s">
        <v>209</v>
      </c>
      <c r="B32" s="23" t="s">
        <v>138</v>
      </c>
      <c r="C32" s="24">
        <f>1129359.27/10000</f>
        <v>112.935927</v>
      </c>
      <c r="D32" s="26" t="s">
        <v>210</v>
      </c>
      <c r="E32" s="23" t="s">
        <v>113</v>
      </c>
      <c r="F32" s="121">
        <f>409582.59/10000</f>
        <v>40.958259000000005</v>
      </c>
      <c r="G32" s="121">
        <f>409582.59/10000</f>
        <v>40.958259000000005</v>
      </c>
      <c r="H32" s="26"/>
    </row>
    <row r="33" spans="1:8" ht="18" customHeight="1">
      <c r="A33" s="28" t="s">
        <v>205</v>
      </c>
      <c r="B33" s="23" t="s">
        <v>144</v>
      </c>
      <c r="C33" s="24">
        <f>1129359.27/10000</f>
        <v>112.935927</v>
      </c>
      <c r="D33" s="26" t="s">
        <v>211</v>
      </c>
      <c r="E33" s="23" t="s">
        <v>118</v>
      </c>
      <c r="F33" s="120"/>
      <c r="G33" s="120"/>
      <c r="H33" s="26"/>
    </row>
    <row r="34" spans="1:8" ht="18" customHeight="1">
      <c r="A34" s="28" t="s">
        <v>206</v>
      </c>
      <c r="B34" s="23" t="s">
        <v>150</v>
      </c>
      <c r="C34" s="24"/>
      <c r="D34" s="26" t="s">
        <v>212</v>
      </c>
      <c r="E34" s="23" t="s">
        <v>123</v>
      </c>
      <c r="F34" s="121">
        <f>409582.59/10000</f>
        <v>40.958259000000005</v>
      </c>
      <c r="G34" s="121">
        <f>409582.59/10000</f>
        <v>40.958259000000005</v>
      </c>
      <c r="H34" s="26"/>
    </row>
    <row r="35" spans="1:8" ht="18" customHeight="1">
      <c r="A35" s="28"/>
      <c r="B35" s="23" t="s">
        <v>156</v>
      </c>
      <c r="C35" s="27"/>
      <c r="D35" s="26"/>
      <c r="E35" s="23" t="s">
        <v>127</v>
      </c>
      <c r="F35" s="120"/>
      <c r="G35" s="120"/>
      <c r="H35" s="26"/>
    </row>
    <row r="36" spans="1:8" ht="18" customHeight="1">
      <c r="A36" s="25" t="s">
        <v>213</v>
      </c>
      <c r="B36" s="23" t="s">
        <v>161</v>
      </c>
      <c r="C36" s="117">
        <f>156523074.85/10000</f>
        <v>15652.307485</v>
      </c>
      <c r="D36" s="22" t="s">
        <v>214</v>
      </c>
      <c r="E36" s="23" t="s">
        <v>15</v>
      </c>
      <c r="F36" s="119">
        <f>156523074.85/10000</f>
        <v>15652.307485</v>
      </c>
      <c r="G36" s="119">
        <f>156523074.85/10000</f>
        <v>15652.307485</v>
      </c>
      <c r="H36" s="22"/>
    </row>
    <row r="37" ht="14.25">
      <c r="C37" s="118"/>
    </row>
  </sheetData>
  <mergeCells count="9">
    <mergeCell ref="A1:H1"/>
    <mergeCell ref="A3:C3"/>
    <mergeCell ref="D3:H3"/>
    <mergeCell ref="F4:H4"/>
    <mergeCell ref="A4:A5"/>
    <mergeCell ref="B4:B5"/>
    <mergeCell ref="C4:C5"/>
    <mergeCell ref="D4:D5"/>
    <mergeCell ref="E4:E5"/>
  </mergeCells>
  <printOptions/>
  <pageMargins left="0.44" right="0.35" top="0.47" bottom="1" header="0.5111111111111111" footer="0.5111111111111111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2"/>
  <sheetViews>
    <sheetView zoomScaleSheetLayoutView="100" workbookViewId="0" topLeftCell="A1">
      <selection activeCell="F16" sqref="F16"/>
    </sheetView>
  </sheetViews>
  <sheetFormatPr defaultColWidth="9.00390625" defaultRowHeight="14.25"/>
  <cols>
    <col min="1" max="3" width="3.125" style="0" customWidth="1"/>
    <col min="4" max="4" width="19.00390625" style="0" customWidth="1"/>
    <col min="5" max="7" width="10.25390625" style="0" customWidth="1"/>
    <col min="8" max="8" width="13.50390625" style="0" customWidth="1"/>
    <col min="9" max="13" width="10.25390625" style="0" customWidth="1"/>
    <col min="14" max="14" width="13.625" style="0" customWidth="1"/>
  </cols>
  <sheetData>
    <row r="1" spans="1:14" ht="21">
      <c r="A1" s="194" t="s">
        <v>215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</row>
    <row r="2" spans="1:14" ht="22.5" customHeight="1">
      <c r="A2" s="32" t="s">
        <v>343</v>
      </c>
      <c r="B2" s="31"/>
      <c r="C2" s="31"/>
      <c r="D2" s="77"/>
      <c r="E2" s="77"/>
      <c r="F2" s="77"/>
      <c r="G2" s="77"/>
      <c r="H2" s="77"/>
      <c r="I2" s="31"/>
      <c r="J2" s="31"/>
      <c r="K2" s="31"/>
      <c r="L2" s="31"/>
      <c r="M2" s="31"/>
      <c r="N2" s="35" t="s">
        <v>1</v>
      </c>
    </row>
    <row r="3" spans="1:14" ht="15" customHeight="1">
      <c r="A3" s="189" t="s">
        <v>4</v>
      </c>
      <c r="B3" s="189"/>
      <c r="C3" s="189"/>
      <c r="D3" s="189"/>
      <c r="E3" s="193" t="s">
        <v>216</v>
      </c>
      <c r="F3" s="193"/>
      <c r="G3" s="193"/>
      <c r="H3" s="193"/>
      <c r="I3" s="196" t="s">
        <v>217</v>
      </c>
      <c r="J3" s="196"/>
      <c r="K3" s="196"/>
      <c r="L3" s="196"/>
      <c r="M3" s="196"/>
      <c r="N3" s="196"/>
    </row>
    <row r="4" spans="1:14" ht="15.75" customHeight="1">
      <c r="A4" s="189" t="s">
        <v>218</v>
      </c>
      <c r="B4" s="189"/>
      <c r="C4" s="189"/>
      <c r="D4" s="189" t="s">
        <v>184</v>
      </c>
      <c r="E4" s="193" t="s">
        <v>188</v>
      </c>
      <c r="F4" s="193" t="s">
        <v>190</v>
      </c>
      <c r="G4" s="193" t="s">
        <v>191</v>
      </c>
      <c r="H4" s="193"/>
      <c r="I4" s="185" t="s">
        <v>188</v>
      </c>
      <c r="J4" s="185" t="s">
        <v>190</v>
      </c>
      <c r="K4" s="185"/>
      <c r="L4" s="185"/>
      <c r="M4" s="185" t="s">
        <v>191</v>
      </c>
      <c r="N4" s="185"/>
    </row>
    <row r="5" spans="1:14" ht="31.5" customHeight="1">
      <c r="A5" s="189"/>
      <c r="B5" s="189"/>
      <c r="C5" s="189"/>
      <c r="D5" s="189"/>
      <c r="E5" s="193"/>
      <c r="F5" s="193"/>
      <c r="G5" s="80" t="s">
        <v>201</v>
      </c>
      <c r="H5" s="80" t="s">
        <v>219</v>
      </c>
      <c r="I5" s="185"/>
      <c r="J5" s="34" t="s">
        <v>201</v>
      </c>
      <c r="K5" s="34" t="s">
        <v>220</v>
      </c>
      <c r="L5" s="34" t="s">
        <v>221</v>
      </c>
      <c r="M5" s="34" t="s">
        <v>201</v>
      </c>
      <c r="N5" s="34" t="s">
        <v>219</v>
      </c>
    </row>
    <row r="6" spans="1:14" ht="22.5" customHeight="1">
      <c r="A6" s="182" t="s">
        <v>185</v>
      </c>
      <c r="B6" s="184" t="s">
        <v>186</v>
      </c>
      <c r="C6" s="184" t="s">
        <v>187</v>
      </c>
      <c r="D6" s="79" t="s">
        <v>9</v>
      </c>
      <c r="E6" s="78">
        <v>1</v>
      </c>
      <c r="F6" s="78">
        <v>2</v>
      </c>
      <c r="G6" s="78">
        <v>3</v>
      </c>
      <c r="H6" s="78">
        <v>4</v>
      </c>
      <c r="I6" s="75">
        <v>5</v>
      </c>
      <c r="J6" s="75">
        <v>6</v>
      </c>
      <c r="K6" s="75">
        <v>7</v>
      </c>
      <c r="L6" s="75">
        <v>8</v>
      </c>
      <c r="M6" s="75">
        <v>9</v>
      </c>
      <c r="N6" s="75">
        <v>10</v>
      </c>
    </row>
    <row r="7" spans="1:14" ht="22.5" customHeight="1">
      <c r="A7" s="183"/>
      <c r="B7" s="185"/>
      <c r="C7" s="185"/>
      <c r="D7" s="15" t="s">
        <v>188</v>
      </c>
      <c r="E7" s="131">
        <f>155393715.58/10000</f>
        <v>15539.371558</v>
      </c>
      <c r="F7" s="131">
        <f>8612279.88/10000</f>
        <v>861.2279880000001</v>
      </c>
      <c r="G7" s="131">
        <f>146781435.7/10000</f>
        <v>14678.143569999998</v>
      </c>
      <c r="H7" s="76"/>
      <c r="I7" s="126">
        <f>156113492.26/10000</f>
        <v>15611.349225999998</v>
      </c>
      <c r="J7" s="126">
        <f>9131931.36/10000</f>
        <v>913.193136</v>
      </c>
      <c r="K7" s="126">
        <f>8532396.43/10000</f>
        <v>853.239643</v>
      </c>
      <c r="L7" s="126">
        <f>599534.93/10000</f>
        <v>59.953493</v>
      </c>
      <c r="M7" s="126">
        <f>146981560.9/10000</f>
        <v>14698.15609</v>
      </c>
      <c r="N7" s="33"/>
    </row>
    <row r="8" spans="1:14" ht="17.25" customHeight="1">
      <c r="A8" s="186">
        <v>201</v>
      </c>
      <c r="B8" s="187">
        <v>201</v>
      </c>
      <c r="C8" s="188">
        <v>201</v>
      </c>
      <c r="D8" s="122" t="s">
        <v>344</v>
      </c>
      <c r="E8" s="126">
        <f aca="true" t="shared" si="0" ref="E8:F10">73950/10000</f>
        <v>7.395</v>
      </c>
      <c r="F8" s="126">
        <f t="shared" si="0"/>
        <v>7.395</v>
      </c>
      <c r="G8" s="123"/>
      <c r="H8" s="123"/>
      <c r="I8" s="126">
        <f aca="true" t="shared" si="1" ref="I8:J10">73950/10000</f>
        <v>7.395</v>
      </c>
      <c r="J8" s="126">
        <f t="shared" si="1"/>
        <v>7.395</v>
      </c>
      <c r="K8" s="126"/>
      <c r="L8" s="126">
        <f>73950/10000</f>
        <v>7.395</v>
      </c>
      <c r="M8" s="123"/>
      <c r="N8" s="123"/>
    </row>
    <row r="9" spans="1:14" ht="17.25" customHeight="1">
      <c r="A9" s="186">
        <v>20199</v>
      </c>
      <c r="B9" s="187">
        <v>20199</v>
      </c>
      <c r="C9" s="188">
        <v>20199</v>
      </c>
      <c r="D9" s="122" t="s">
        <v>345</v>
      </c>
      <c r="E9" s="126">
        <f t="shared" si="0"/>
        <v>7.395</v>
      </c>
      <c r="F9" s="126">
        <f t="shared" si="0"/>
        <v>7.395</v>
      </c>
      <c r="G9" s="123"/>
      <c r="H9" s="123"/>
      <c r="I9" s="126">
        <f t="shared" si="1"/>
        <v>7.395</v>
      </c>
      <c r="J9" s="126">
        <f t="shared" si="1"/>
        <v>7.395</v>
      </c>
      <c r="K9" s="126"/>
      <c r="L9" s="126">
        <f>73950/10000</f>
        <v>7.395</v>
      </c>
      <c r="M9" s="123"/>
      <c r="N9" s="123"/>
    </row>
    <row r="10" spans="1:14" ht="17.25" customHeight="1">
      <c r="A10" s="190">
        <v>2019999</v>
      </c>
      <c r="B10" s="191">
        <v>2019999</v>
      </c>
      <c r="C10" s="192">
        <v>2019999</v>
      </c>
      <c r="D10" s="124" t="s">
        <v>385</v>
      </c>
      <c r="E10" s="126">
        <f t="shared" si="0"/>
        <v>7.395</v>
      </c>
      <c r="F10" s="126">
        <f t="shared" si="0"/>
        <v>7.395</v>
      </c>
      <c r="G10" s="127"/>
      <c r="H10" s="127"/>
      <c r="I10" s="126">
        <f t="shared" si="1"/>
        <v>7.395</v>
      </c>
      <c r="J10" s="126">
        <f t="shared" si="1"/>
        <v>7.395</v>
      </c>
      <c r="K10" s="126"/>
      <c r="L10" s="126">
        <f>73950/10000</f>
        <v>7.395</v>
      </c>
      <c r="M10" s="123"/>
      <c r="N10" s="123"/>
    </row>
    <row r="11" spans="1:14" ht="17.25" customHeight="1">
      <c r="A11" s="181">
        <v>208</v>
      </c>
      <c r="B11" s="181">
        <v>208</v>
      </c>
      <c r="C11" s="181">
        <v>208</v>
      </c>
      <c r="D11" s="125" t="s">
        <v>347</v>
      </c>
      <c r="E11" s="129">
        <f>4009211.1/10000</f>
        <v>400.92111</v>
      </c>
      <c r="F11" s="129">
        <f>2291727.18/10000</f>
        <v>229.172718</v>
      </c>
      <c r="G11" s="129">
        <f>1717483.92/10000</f>
        <v>171.748392</v>
      </c>
      <c r="H11" s="128"/>
      <c r="I11" s="129">
        <f>4009211.1/10000</f>
        <v>400.92111</v>
      </c>
      <c r="J11" s="129">
        <f aca="true" t="shared" si="2" ref="J11:K13">2291727.18/10000</f>
        <v>229.172718</v>
      </c>
      <c r="K11" s="126">
        <f t="shared" si="2"/>
        <v>229.172718</v>
      </c>
      <c r="L11" s="123"/>
      <c r="M11" s="126">
        <f>1717483.92/10000</f>
        <v>171.748392</v>
      </c>
      <c r="N11" s="123"/>
    </row>
    <row r="12" spans="1:14" ht="17.25" customHeight="1">
      <c r="A12" s="181">
        <v>20805</v>
      </c>
      <c r="B12" s="181">
        <v>20805</v>
      </c>
      <c r="C12" s="181">
        <v>20805</v>
      </c>
      <c r="D12" s="125" t="s">
        <v>348</v>
      </c>
      <c r="E12" s="129">
        <f>2291727.18/10000</f>
        <v>229.172718</v>
      </c>
      <c r="F12" s="129">
        <f>2291727.18/10000</f>
        <v>229.172718</v>
      </c>
      <c r="G12" s="128"/>
      <c r="H12" s="128"/>
      <c r="I12" s="129">
        <f>2291727.18/10000</f>
        <v>229.172718</v>
      </c>
      <c r="J12" s="129">
        <f t="shared" si="2"/>
        <v>229.172718</v>
      </c>
      <c r="K12" s="129">
        <f t="shared" si="2"/>
        <v>229.172718</v>
      </c>
      <c r="L12" s="123"/>
      <c r="M12" s="123"/>
      <c r="N12" s="123"/>
    </row>
    <row r="13" spans="1:14" ht="17.25" customHeight="1">
      <c r="A13" s="181">
        <v>2080501</v>
      </c>
      <c r="B13" s="181">
        <v>2080501</v>
      </c>
      <c r="C13" s="181">
        <v>2080501</v>
      </c>
      <c r="D13" s="125" t="s">
        <v>386</v>
      </c>
      <c r="E13" s="129">
        <f>2291727.18/10000</f>
        <v>229.172718</v>
      </c>
      <c r="F13" s="129">
        <f>2291727.18/10000</f>
        <v>229.172718</v>
      </c>
      <c r="G13" s="128"/>
      <c r="H13" s="128"/>
      <c r="I13" s="129">
        <f>2291727.18/10000</f>
        <v>229.172718</v>
      </c>
      <c r="J13" s="129">
        <f t="shared" si="2"/>
        <v>229.172718</v>
      </c>
      <c r="K13" s="129">
        <f t="shared" si="2"/>
        <v>229.172718</v>
      </c>
      <c r="L13" s="123"/>
      <c r="M13" s="123"/>
      <c r="N13" s="123"/>
    </row>
    <row r="14" spans="1:14" ht="17.25" customHeight="1">
      <c r="A14" s="181">
        <v>20806</v>
      </c>
      <c r="B14" s="181">
        <v>20806</v>
      </c>
      <c r="C14" s="181">
        <v>20806</v>
      </c>
      <c r="D14" s="125" t="s">
        <v>349</v>
      </c>
      <c r="E14" s="129">
        <f>967483.92/10000</f>
        <v>96.74839200000001</v>
      </c>
      <c r="F14" s="128"/>
      <c r="G14" s="129">
        <f>967483.92/10000</f>
        <v>96.74839200000001</v>
      </c>
      <c r="H14" s="128"/>
      <c r="I14" s="129">
        <f>967483.92/10000</f>
        <v>96.74839200000001</v>
      </c>
      <c r="J14" s="129"/>
      <c r="K14" s="126"/>
      <c r="L14" s="123"/>
      <c r="M14" s="129">
        <f>967483.92/10000</f>
        <v>96.74839200000001</v>
      </c>
      <c r="N14" s="123"/>
    </row>
    <row r="15" spans="1:14" ht="17.25" customHeight="1">
      <c r="A15" s="181">
        <v>2080601</v>
      </c>
      <c r="B15" s="181">
        <v>2080601</v>
      </c>
      <c r="C15" s="181">
        <v>2080601</v>
      </c>
      <c r="D15" s="125" t="s">
        <v>387</v>
      </c>
      <c r="E15" s="129">
        <f>967483.92/10000</f>
        <v>96.74839200000001</v>
      </c>
      <c r="F15" s="128"/>
      <c r="G15" s="129">
        <f>967483.92/10000</f>
        <v>96.74839200000001</v>
      </c>
      <c r="H15" s="128"/>
      <c r="I15" s="129">
        <f>967483.92/10000</f>
        <v>96.74839200000001</v>
      </c>
      <c r="J15" s="129"/>
      <c r="K15" s="126"/>
      <c r="L15" s="123"/>
      <c r="M15" s="129">
        <f>967483.92/10000</f>
        <v>96.74839200000001</v>
      </c>
      <c r="N15" s="123"/>
    </row>
    <row r="16" spans="1:14" ht="17.25" customHeight="1">
      <c r="A16" s="181">
        <v>20899</v>
      </c>
      <c r="B16" s="181">
        <v>20899</v>
      </c>
      <c r="C16" s="181">
        <v>20899</v>
      </c>
      <c r="D16" s="125" t="s">
        <v>350</v>
      </c>
      <c r="E16" s="129">
        <f>750000/10000</f>
        <v>75</v>
      </c>
      <c r="F16" s="128"/>
      <c r="G16" s="129">
        <f>750000/10000</f>
        <v>75</v>
      </c>
      <c r="H16" s="128"/>
      <c r="I16" s="129">
        <f>750000/10000</f>
        <v>75</v>
      </c>
      <c r="J16" s="129"/>
      <c r="K16" s="126"/>
      <c r="L16" s="126"/>
      <c r="M16" s="129">
        <f>750000/10000</f>
        <v>75</v>
      </c>
      <c r="N16" s="123"/>
    </row>
    <row r="17" spans="1:14" ht="17.25" customHeight="1">
      <c r="A17" s="181">
        <v>2089901</v>
      </c>
      <c r="B17" s="181">
        <v>2089901</v>
      </c>
      <c r="C17" s="181">
        <v>2089901</v>
      </c>
      <c r="D17" s="125" t="s">
        <v>388</v>
      </c>
      <c r="E17" s="129">
        <f>750000/10000</f>
        <v>75</v>
      </c>
      <c r="F17" s="128"/>
      <c r="G17" s="129">
        <f>750000/10000</f>
        <v>75</v>
      </c>
      <c r="H17" s="128"/>
      <c r="I17" s="129">
        <f>750000/10000</f>
        <v>75</v>
      </c>
      <c r="J17" s="129"/>
      <c r="K17" s="126"/>
      <c r="L17" s="126"/>
      <c r="M17" s="129">
        <f>750000/10000</f>
        <v>75</v>
      </c>
      <c r="N17" s="123"/>
    </row>
    <row r="18" spans="1:14" ht="17.25" customHeight="1">
      <c r="A18" s="181">
        <v>211</v>
      </c>
      <c r="B18" s="181">
        <v>211</v>
      </c>
      <c r="C18" s="181">
        <v>211</v>
      </c>
      <c r="D18" s="125" t="s">
        <v>351</v>
      </c>
      <c r="E18" s="129">
        <f>150853974.51/10000</f>
        <v>15085.397450999999</v>
      </c>
      <c r="F18" s="129">
        <f>5790022.73/10000</f>
        <v>579.0022730000001</v>
      </c>
      <c r="G18" s="129">
        <f>145063951.78/10000</f>
        <v>14506.395178</v>
      </c>
      <c r="H18" s="128"/>
      <c r="I18" s="129">
        <f>151573751.19/10000</f>
        <v>15157.375119</v>
      </c>
      <c r="J18" s="129">
        <f>6309674.21/10000</f>
        <v>630.967421</v>
      </c>
      <c r="K18" s="126">
        <f>5784089.28/10000</f>
        <v>578.4089280000001</v>
      </c>
      <c r="L18" s="126">
        <f>525584.93/10000</f>
        <v>52.558493000000006</v>
      </c>
      <c r="M18" s="126">
        <f>145264076.98/10000</f>
        <v>14526.407697999999</v>
      </c>
      <c r="N18" s="123"/>
    </row>
    <row r="19" spans="1:14" ht="17.25" customHeight="1">
      <c r="A19" s="181">
        <v>21101</v>
      </c>
      <c r="B19" s="181">
        <v>21101</v>
      </c>
      <c r="C19" s="181">
        <v>21101</v>
      </c>
      <c r="D19" s="101" t="s">
        <v>352</v>
      </c>
      <c r="E19" s="130">
        <f>5870022.73/10000</f>
        <v>587.0022730000001</v>
      </c>
      <c r="F19" s="130">
        <f>5790022.73/10000</f>
        <v>579.0022730000001</v>
      </c>
      <c r="G19" s="130">
        <f>80000/10000</f>
        <v>8</v>
      </c>
      <c r="H19" s="130"/>
      <c r="I19" s="130">
        <f>6389674.21/10000</f>
        <v>638.967421</v>
      </c>
      <c r="J19" s="130">
        <f>6309674.21/10000</f>
        <v>630.967421</v>
      </c>
      <c r="K19" s="131">
        <f>5784089.28/10000</f>
        <v>578.4089280000001</v>
      </c>
      <c r="L19" s="131">
        <f>525584.93/10000</f>
        <v>52.558493000000006</v>
      </c>
      <c r="M19" s="131">
        <f>80000/10000</f>
        <v>8</v>
      </c>
      <c r="N19" s="131"/>
    </row>
    <row r="20" spans="1:14" ht="17.25" customHeight="1">
      <c r="A20" s="181">
        <v>2110101</v>
      </c>
      <c r="B20" s="181">
        <v>2110101</v>
      </c>
      <c r="C20" s="181">
        <v>2110101</v>
      </c>
      <c r="D20" s="101" t="s">
        <v>389</v>
      </c>
      <c r="E20" s="130">
        <f>5790022.73/10000</f>
        <v>579.0022730000001</v>
      </c>
      <c r="F20" s="130">
        <f>5790022.73/10000</f>
        <v>579.0022730000001</v>
      </c>
      <c r="G20" s="130"/>
      <c r="H20" s="130"/>
      <c r="I20" s="130">
        <f>6309674.21/10000</f>
        <v>630.967421</v>
      </c>
      <c r="J20" s="130">
        <f>6309674.21/10000</f>
        <v>630.967421</v>
      </c>
      <c r="K20" s="131">
        <f>5784089.28/10000</f>
        <v>578.4089280000001</v>
      </c>
      <c r="L20" s="131">
        <f>525584.93/10000</f>
        <v>52.558493000000006</v>
      </c>
      <c r="M20" s="131"/>
      <c r="N20" s="131"/>
    </row>
    <row r="21" spans="1:14" ht="17.25" customHeight="1">
      <c r="A21" s="181">
        <v>2110104</v>
      </c>
      <c r="B21" s="181">
        <v>2110104</v>
      </c>
      <c r="C21" s="181">
        <v>2110104</v>
      </c>
      <c r="D21" s="101" t="s">
        <v>390</v>
      </c>
      <c r="E21" s="130">
        <f>80000/10000</f>
        <v>8</v>
      </c>
      <c r="F21" s="130"/>
      <c r="G21" s="130">
        <f>80000/10000</f>
        <v>8</v>
      </c>
      <c r="H21" s="130"/>
      <c r="I21" s="130">
        <f>80000/10000</f>
        <v>8</v>
      </c>
      <c r="J21" s="130"/>
      <c r="K21" s="131"/>
      <c r="L21" s="131"/>
      <c r="M21" s="130">
        <f>80000/10000</f>
        <v>8</v>
      </c>
      <c r="N21" s="131"/>
    </row>
    <row r="22" spans="1:14" ht="17.25" customHeight="1">
      <c r="A22" s="181">
        <v>21103</v>
      </c>
      <c r="B22" s="181">
        <v>21103</v>
      </c>
      <c r="C22" s="181">
        <v>21103</v>
      </c>
      <c r="D22" s="101" t="s">
        <v>353</v>
      </c>
      <c r="E22" s="130">
        <f>144983951.78/10000</f>
        <v>14498.395178</v>
      </c>
      <c r="F22" s="130"/>
      <c r="G22" s="130">
        <f>144983951.78/10000</f>
        <v>14498.395178</v>
      </c>
      <c r="H22" s="130"/>
      <c r="I22" s="130">
        <f>145184076.98/10000</f>
        <v>14518.407697999999</v>
      </c>
      <c r="J22" s="130"/>
      <c r="K22" s="131"/>
      <c r="L22" s="131"/>
      <c r="M22" s="131">
        <f>145184076.98/10000</f>
        <v>14518.407697999999</v>
      </c>
      <c r="N22" s="131"/>
    </row>
    <row r="23" spans="1:14" ht="17.25" customHeight="1">
      <c r="A23" s="181">
        <v>2110301</v>
      </c>
      <c r="B23" s="181">
        <v>2110301</v>
      </c>
      <c r="C23" s="181">
        <v>2110301</v>
      </c>
      <c r="D23" s="101" t="s">
        <v>391</v>
      </c>
      <c r="E23" s="130">
        <f>777000/10000</f>
        <v>77.7</v>
      </c>
      <c r="F23" s="130"/>
      <c r="G23" s="130">
        <f>777000/10000</f>
        <v>77.7</v>
      </c>
      <c r="H23" s="130"/>
      <c r="I23" s="130">
        <f>777000/10000</f>
        <v>77.7</v>
      </c>
      <c r="J23" s="130"/>
      <c r="K23" s="131"/>
      <c r="L23" s="131"/>
      <c r="M23" s="130">
        <f>777000/10000</f>
        <v>77.7</v>
      </c>
      <c r="N23" s="131"/>
    </row>
    <row r="24" spans="1:14" ht="17.25" customHeight="1">
      <c r="A24" s="181">
        <v>2110307</v>
      </c>
      <c r="B24" s="181">
        <v>2110307</v>
      </c>
      <c r="C24" s="181">
        <v>2110307</v>
      </c>
      <c r="D24" s="101" t="s">
        <v>392</v>
      </c>
      <c r="E24" s="130">
        <f>2499300/10000</f>
        <v>249.93</v>
      </c>
      <c r="F24" s="130"/>
      <c r="G24" s="130">
        <f>2499300/10000</f>
        <v>249.93</v>
      </c>
      <c r="H24" s="130"/>
      <c r="I24" s="130">
        <f>2699425.2/10000</f>
        <v>269.94252</v>
      </c>
      <c r="J24" s="130"/>
      <c r="K24" s="131"/>
      <c r="L24" s="131"/>
      <c r="M24" s="131">
        <f>2699425.2/10000</f>
        <v>269.94252</v>
      </c>
      <c r="N24" s="131"/>
    </row>
    <row r="25" spans="1:14" ht="17.25" customHeight="1">
      <c r="A25" s="181">
        <v>2110399</v>
      </c>
      <c r="B25" s="181">
        <v>2110399</v>
      </c>
      <c r="C25" s="181">
        <v>2110399</v>
      </c>
      <c r="D25" s="101" t="s">
        <v>393</v>
      </c>
      <c r="E25" s="130">
        <f>141707651.78/10000</f>
        <v>14170.765178</v>
      </c>
      <c r="F25" s="130"/>
      <c r="G25" s="130">
        <f>141707651.78/10000</f>
        <v>14170.765178</v>
      </c>
      <c r="H25" s="130"/>
      <c r="I25" s="130">
        <f>141707651.78/10000</f>
        <v>14170.765178</v>
      </c>
      <c r="J25" s="130"/>
      <c r="K25" s="131"/>
      <c r="L25" s="131"/>
      <c r="M25" s="131">
        <f>141707651.78/10000</f>
        <v>14170.765178</v>
      </c>
      <c r="N25" s="131"/>
    </row>
    <row r="26" spans="1:14" ht="17.25" customHeight="1">
      <c r="A26" s="181">
        <v>221</v>
      </c>
      <c r="B26" s="181">
        <v>221</v>
      </c>
      <c r="C26" s="181">
        <v>221</v>
      </c>
      <c r="D26" s="101" t="s">
        <v>356</v>
      </c>
      <c r="E26" s="130">
        <f aca="true" t="shared" si="3" ref="E26:F28">392022/10000</f>
        <v>39.2022</v>
      </c>
      <c r="F26" s="130">
        <f t="shared" si="3"/>
        <v>39.2022</v>
      </c>
      <c r="G26" s="130"/>
      <c r="H26" s="130"/>
      <c r="I26" s="130">
        <f aca="true" t="shared" si="4" ref="I26:K28">392022/10000</f>
        <v>39.2022</v>
      </c>
      <c r="J26" s="130">
        <f t="shared" si="4"/>
        <v>39.2022</v>
      </c>
      <c r="K26" s="130">
        <f t="shared" si="4"/>
        <v>39.2022</v>
      </c>
      <c r="L26" s="131"/>
      <c r="M26" s="131"/>
      <c r="N26" s="131"/>
    </row>
    <row r="27" spans="1:14" ht="17.25" customHeight="1">
      <c r="A27" s="181">
        <v>22102</v>
      </c>
      <c r="B27" s="181">
        <v>22102</v>
      </c>
      <c r="C27" s="181">
        <v>22102</v>
      </c>
      <c r="D27" s="101" t="s">
        <v>357</v>
      </c>
      <c r="E27" s="130">
        <f t="shared" si="3"/>
        <v>39.2022</v>
      </c>
      <c r="F27" s="130">
        <f t="shared" si="3"/>
        <v>39.2022</v>
      </c>
      <c r="G27" s="130"/>
      <c r="H27" s="130"/>
      <c r="I27" s="130">
        <f t="shared" si="4"/>
        <v>39.2022</v>
      </c>
      <c r="J27" s="130">
        <f t="shared" si="4"/>
        <v>39.2022</v>
      </c>
      <c r="K27" s="130">
        <f t="shared" si="4"/>
        <v>39.2022</v>
      </c>
      <c r="L27" s="131"/>
      <c r="M27" s="131"/>
      <c r="N27" s="131"/>
    </row>
    <row r="28" spans="1:14" ht="17.25" customHeight="1">
      <c r="A28" s="181">
        <v>2210201</v>
      </c>
      <c r="B28" s="181">
        <v>2210201</v>
      </c>
      <c r="C28" s="181">
        <v>2210201</v>
      </c>
      <c r="D28" s="101" t="s">
        <v>394</v>
      </c>
      <c r="E28" s="130">
        <f t="shared" si="3"/>
        <v>39.2022</v>
      </c>
      <c r="F28" s="130">
        <f t="shared" si="3"/>
        <v>39.2022</v>
      </c>
      <c r="G28" s="130"/>
      <c r="H28" s="130"/>
      <c r="I28" s="130">
        <f t="shared" si="4"/>
        <v>39.2022</v>
      </c>
      <c r="J28" s="130">
        <f t="shared" si="4"/>
        <v>39.2022</v>
      </c>
      <c r="K28" s="130">
        <f t="shared" si="4"/>
        <v>39.2022</v>
      </c>
      <c r="L28" s="131"/>
      <c r="M28" s="131"/>
      <c r="N28" s="131"/>
    </row>
    <row r="29" spans="1:14" ht="17.25" customHeight="1">
      <c r="A29" s="181">
        <v>229</v>
      </c>
      <c r="B29" s="181">
        <v>229</v>
      </c>
      <c r="C29" s="181">
        <v>229</v>
      </c>
      <c r="D29" s="101" t="s">
        <v>230</v>
      </c>
      <c r="E29" s="130">
        <f aca="true" t="shared" si="5" ref="E29:F31">64557.97/10000</f>
        <v>6.4557970000000005</v>
      </c>
      <c r="F29" s="130">
        <f t="shared" si="5"/>
        <v>6.4557970000000005</v>
      </c>
      <c r="G29" s="130"/>
      <c r="H29" s="130"/>
      <c r="I29" s="130">
        <f aca="true" t="shared" si="6" ref="I29:K31">64557.97/10000</f>
        <v>6.4557970000000005</v>
      </c>
      <c r="J29" s="130">
        <f t="shared" si="6"/>
        <v>6.4557970000000005</v>
      </c>
      <c r="K29" s="130">
        <f t="shared" si="6"/>
        <v>6.4557970000000005</v>
      </c>
      <c r="L29" s="131"/>
      <c r="M29" s="131"/>
      <c r="N29" s="131"/>
    </row>
    <row r="30" spans="1:14" ht="17.25" customHeight="1">
      <c r="A30" s="181">
        <v>22999</v>
      </c>
      <c r="B30" s="181">
        <v>22999</v>
      </c>
      <c r="C30" s="181">
        <v>22999</v>
      </c>
      <c r="D30" s="101" t="s">
        <v>230</v>
      </c>
      <c r="E30" s="130">
        <f t="shared" si="5"/>
        <v>6.4557970000000005</v>
      </c>
      <c r="F30" s="130">
        <f t="shared" si="5"/>
        <v>6.4557970000000005</v>
      </c>
      <c r="G30" s="130"/>
      <c r="H30" s="130"/>
      <c r="I30" s="130">
        <f t="shared" si="6"/>
        <v>6.4557970000000005</v>
      </c>
      <c r="J30" s="130">
        <f t="shared" si="6"/>
        <v>6.4557970000000005</v>
      </c>
      <c r="K30" s="130">
        <f t="shared" si="6"/>
        <v>6.4557970000000005</v>
      </c>
      <c r="L30" s="131"/>
      <c r="M30" s="131"/>
      <c r="N30" s="131"/>
    </row>
    <row r="31" spans="1:14" ht="17.25" customHeight="1">
      <c r="A31" s="181">
        <v>2299901</v>
      </c>
      <c r="B31" s="181">
        <v>2299901</v>
      </c>
      <c r="C31" s="181">
        <v>2299901</v>
      </c>
      <c r="D31" s="101" t="s">
        <v>395</v>
      </c>
      <c r="E31" s="130">
        <f t="shared" si="5"/>
        <v>6.4557970000000005</v>
      </c>
      <c r="F31" s="130">
        <f t="shared" si="5"/>
        <v>6.4557970000000005</v>
      </c>
      <c r="G31" s="130"/>
      <c r="H31" s="130"/>
      <c r="I31" s="130">
        <f t="shared" si="6"/>
        <v>6.4557970000000005</v>
      </c>
      <c r="J31" s="130">
        <f t="shared" si="6"/>
        <v>6.4557970000000005</v>
      </c>
      <c r="K31" s="130">
        <f t="shared" si="6"/>
        <v>6.4557970000000005</v>
      </c>
      <c r="L31" s="131"/>
      <c r="M31" s="131"/>
      <c r="N31" s="131"/>
    </row>
    <row r="32" spans="1:4" ht="17.25" customHeight="1">
      <c r="A32" s="132"/>
      <c r="B32" s="132"/>
      <c r="C32" s="132"/>
      <c r="D32" s="132"/>
    </row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</sheetData>
  <mergeCells count="39">
    <mergeCell ref="A31:C31"/>
    <mergeCell ref="A8:C8"/>
    <mergeCell ref="A27:C27"/>
    <mergeCell ref="A28:C28"/>
    <mergeCell ref="A29:C29"/>
    <mergeCell ref="A30:C30"/>
    <mergeCell ref="A23:C23"/>
    <mergeCell ref="A24:C24"/>
    <mergeCell ref="A25:C25"/>
    <mergeCell ref="A26:C26"/>
    <mergeCell ref="A19:C19"/>
    <mergeCell ref="A20:C20"/>
    <mergeCell ref="A21:C21"/>
    <mergeCell ref="A22:C22"/>
    <mergeCell ref="A1:N1"/>
    <mergeCell ref="A3:D3"/>
    <mergeCell ref="E3:H3"/>
    <mergeCell ref="I3:N3"/>
    <mergeCell ref="J4:L4"/>
    <mergeCell ref="M4:N4"/>
    <mergeCell ref="D4:D5"/>
    <mergeCell ref="E4:E5"/>
    <mergeCell ref="F4:F5"/>
    <mergeCell ref="I4:I5"/>
    <mergeCell ref="G4:H4"/>
    <mergeCell ref="A4:C5"/>
    <mergeCell ref="A10:C10"/>
    <mergeCell ref="A11:C11"/>
    <mergeCell ref="A12:C12"/>
    <mergeCell ref="A17:C17"/>
    <mergeCell ref="A18:C18"/>
    <mergeCell ref="A6:A7"/>
    <mergeCell ref="B6:B7"/>
    <mergeCell ref="C6:C7"/>
    <mergeCell ref="A13:C13"/>
    <mergeCell ref="A14:C14"/>
    <mergeCell ref="A15:C15"/>
    <mergeCell ref="A16:C16"/>
    <mergeCell ref="A9:C9"/>
  </mergeCells>
  <printOptions/>
  <pageMargins left="0.19" right="0.16" top="0.22" bottom="0.21" header="0.25" footer="0.16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R26"/>
  <sheetViews>
    <sheetView zoomScaleSheetLayoutView="100" workbookViewId="0" topLeftCell="AO1">
      <selection activeCell="CM4" sqref="CM4:CM6"/>
    </sheetView>
  </sheetViews>
  <sheetFormatPr defaultColWidth="9.00390625" defaultRowHeight="14.25"/>
  <cols>
    <col min="1" max="3" width="2.75390625" style="0" customWidth="1"/>
    <col min="4" max="4" width="12.125" style="95" customWidth="1"/>
    <col min="5" max="8" width="5.625" style="0" customWidth="1"/>
    <col min="9" max="10" width="5.00390625" style="0" customWidth="1"/>
    <col min="11" max="11" width="2.375" style="88" customWidth="1"/>
    <col min="12" max="13" width="2.375" style="0" customWidth="1"/>
    <col min="14" max="16" width="5.00390625" style="0" customWidth="1"/>
    <col min="17" max="18" width="2.375" style="0" customWidth="1"/>
    <col min="19" max="22" width="5.00390625" style="0" customWidth="1"/>
    <col min="23" max="23" width="2.375" style="0" customWidth="1"/>
    <col min="24" max="25" width="5.00390625" style="0" customWidth="1"/>
    <col min="26" max="26" width="2.375" style="0" customWidth="1"/>
    <col min="27" max="27" width="5.00390625" style="0" customWidth="1"/>
    <col min="28" max="28" width="2.375" style="0" customWidth="1"/>
    <col min="29" max="31" width="5.00390625" style="0" customWidth="1"/>
    <col min="32" max="34" width="2.375" style="0" customWidth="1"/>
    <col min="35" max="35" width="5.00390625" style="0" customWidth="1"/>
    <col min="36" max="38" width="2.375" style="0" customWidth="1"/>
    <col min="39" max="40" width="5.00390625" style="0" customWidth="1"/>
    <col min="41" max="41" width="2.375" style="0" customWidth="1"/>
    <col min="42" max="42" width="5.00390625" style="0" customWidth="1"/>
    <col min="43" max="45" width="5.625" style="0" customWidth="1"/>
    <col min="46" max="49" width="2.375" style="0" customWidth="1"/>
    <col min="50" max="50" width="5.00390625" style="0" customWidth="1"/>
    <col min="51" max="51" width="2.375" style="0" customWidth="1"/>
    <col min="52" max="52" width="5.00390625" style="0" customWidth="1"/>
    <col min="53" max="53" width="2.375" style="0" customWidth="1"/>
    <col min="54" max="54" width="5.00390625" style="0" customWidth="1"/>
    <col min="55" max="56" width="2.375" style="0" customWidth="1"/>
    <col min="57" max="57" width="5.00390625" style="0" customWidth="1"/>
    <col min="58" max="68" width="2.375" style="88" customWidth="1"/>
    <col min="69" max="82" width="2.375" style="0" customWidth="1"/>
    <col min="83" max="83" width="2.375" style="88" customWidth="1"/>
    <col min="84" max="94" width="2.375" style="0" customWidth="1"/>
    <col min="95" max="96" width="2.375" style="88" customWidth="1"/>
    <col min="97" max="112" width="5.00390625" style="0" customWidth="1"/>
  </cols>
  <sheetData>
    <row r="1" spans="1:96" ht="20.25">
      <c r="A1" s="203" t="s">
        <v>222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3"/>
      <c r="AC1" s="203"/>
      <c r="AD1" s="203"/>
      <c r="AE1" s="203"/>
      <c r="AF1" s="203"/>
      <c r="AG1" s="203"/>
      <c r="AH1" s="203"/>
      <c r="AI1" s="203"/>
      <c r="AJ1" s="203"/>
      <c r="AK1" s="203"/>
      <c r="AL1" s="203"/>
      <c r="AM1" s="203"/>
      <c r="AN1" s="203"/>
      <c r="AO1" s="203"/>
      <c r="AP1" s="203"/>
      <c r="AQ1" s="203"/>
      <c r="AR1" s="203"/>
      <c r="AS1" s="203"/>
      <c r="AT1" s="203"/>
      <c r="AU1" s="203"/>
      <c r="AV1" s="203"/>
      <c r="AW1" s="203"/>
      <c r="AX1" s="203"/>
      <c r="AY1" s="203"/>
      <c r="AZ1" s="203"/>
      <c r="BA1" s="203"/>
      <c r="BB1" s="203"/>
      <c r="BC1" s="203"/>
      <c r="BD1" s="203"/>
      <c r="BE1" s="203"/>
      <c r="BF1" s="203"/>
      <c r="BG1" s="203"/>
      <c r="BH1" s="203"/>
      <c r="BI1" s="203"/>
      <c r="BJ1" s="203"/>
      <c r="BK1" s="203"/>
      <c r="BL1" s="203"/>
      <c r="BM1" s="203"/>
      <c r="BN1" s="203"/>
      <c r="BO1" s="203"/>
      <c r="BP1" s="203"/>
      <c r="BQ1" s="203"/>
      <c r="BR1" s="203"/>
      <c r="BS1" s="203"/>
      <c r="BT1" s="203"/>
      <c r="BU1" s="203"/>
      <c r="BV1" s="203"/>
      <c r="BW1" s="203"/>
      <c r="BX1" s="203"/>
      <c r="BY1" s="203"/>
      <c r="BZ1" s="203"/>
      <c r="CA1" s="203"/>
      <c r="CB1" s="203"/>
      <c r="CC1" s="203"/>
      <c r="CD1" s="203"/>
      <c r="CE1" s="203"/>
      <c r="CF1" s="203"/>
      <c r="CG1" s="203"/>
      <c r="CH1" s="203"/>
      <c r="CI1" s="203"/>
      <c r="CJ1" s="203"/>
      <c r="CK1" s="203"/>
      <c r="CL1" s="203"/>
      <c r="CM1" s="203"/>
      <c r="CN1" s="203"/>
      <c r="CO1" s="203"/>
      <c r="CP1" s="203"/>
      <c r="CQ1" s="203"/>
      <c r="CR1" s="203"/>
    </row>
    <row r="2" spans="1:94" ht="14.25">
      <c r="A2" s="45" t="s">
        <v>343</v>
      </c>
      <c r="B2" s="45"/>
      <c r="C2" s="45"/>
      <c r="D2" s="94"/>
      <c r="E2" s="44"/>
      <c r="F2" s="38"/>
      <c r="G2" s="38"/>
      <c r="H2" s="38"/>
      <c r="I2" s="38"/>
      <c r="J2" s="38"/>
      <c r="K2" s="136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9"/>
      <c r="AX2" s="38"/>
      <c r="AY2" s="38"/>
      <c r="AZ2" s="38"/>
      <c r="BA2" s="38"/>
      <c r="BB2" s="38"/>
      <c r="BC2" s="38"/>
      <c r="BD2" s="38"/>
      <c r="BE2" s="38"/>
      <c r="BF2" s="136"/>
      <c r="BG2" s="136"/>
      <c r="BH2" s="136"/>
      <c r="BI2" s="136"/>
      <c r="BJ2" s="136"/>
      <c r="BK2" s="136"/>
      <c r="BL2" s="136"/>
      <c r="BM2" s="136"/>
      <c r="BN2" s="136"/>
      <c r="BO2" s="136"/>
      <c r="BP2" s="136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136"/>
      <c r="CF2" s="38"/>
      <c r="CG2" s="38"/>
      <c r="CH2" s="38"/>
      <c r="CI2" s="38"/>
      <c r="CJ2" s="38"/>
      <c r="CK2" s="38"/>
      <c r="CL2" s="38"/>
      <c r="CM2" s="136"/>
      <c r="CN2" s="39" t="s">
        <v>1</v>
      </c>
      <c r="CP2" s="38"/>
    </row>
    <row r="3" spans="1:96" ht="14.25">
      <c r="A3" s="204" t="s">
        <v>4</v>
      </c>
      <c r="B3" s="199"/>
      <c r="C3" s="199"/>
      <c r="D3" s="199"/>
      <c r="E3" s="199" t="s">
        <v>188</v>
      </c>
      <c r="F3" s="205" t="s">
        <v>223</v>
      </c>
      <c r="G3" s="205"/>
      <c r="H3" s="205"/>
      <c r="I3" s="205"/>
      <c r="J3" s="205"/>
      <c r="K3" s="205"/>
      <c r="L3" s="205"/>
      <c r="M3" s="205"/>
      <c r="N3" s="205"/>
      <c r="O3" s="205" t="s">
        <v>224</v>
      </c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5"/>
      <c r="AM3" s="205"/>
      <c r="AN3" s="205"/>
      <c r="AO3" s="205"/>
      <c r="AP3" s="205"/>
      <c r="AQ3" s="205" t="s">
        <v>225</v>
      </c>
      <c r="AR3" s="205"/>
      <c r="AS3" s="205"/>
      <c r="AT3" s="205"/>
      <c r="AU3" s="205"/>
      <c r="AV3" s="205"/>
      <c r="AW3" s="205"/>
      <c r="AX3" s="205"/>
      <c r="AY3" s="205"/>
      <c r="AZ3" s="205"/>
      <c r="BA3" s="205"/>
      <c r="BB3" s="205"/>
      <c r="BC3" s="205"/>
      <c r="BD3" s="205"/>
      <c r="BE3" s="205"/>
      <c r="BF3" s="205" t="s">
        <v>226</v>
      </c>
      <c r="BG3" s="205"/>
      <c r="BH3" s="205"/>
      <c r="BI3" s="205"/>
      <c r="BJ3" s="205"/>
      <c r="BK3" s="205"/>
      <c r="BL3" s="205"/>
      <c r="BM3" s="205"/>
      <c r="BN3" s="205"/>
      <c r="BO3" s="205"/>
      <c r="BP3" s="205"/>
      <c r="BQ3" s="205" t="s">
        <v>227</v>
      </c>
      <c r="BR3" s="205"/>
      <c r="BS3" s="205"/>
      <c r="BT3" s="205"/>
      <c r="BU3" s="205"/>
      <c r="BV3" s="205"/>
      <c r="BW3" s="205"/>
      <c r="BX3" s="205"/>
      <c r="BY3" s="205"/>
      <c r="BZ3" s="205"/>
      <c r="CA3" s="205"/>
      <c r="CB3" s="205"/>
      <c r="CC3" s="205"/>
      <c r="CD3" s="205"/>
      <c r="CE3" s="205"/>
      <c r="CF3" s="205"/>
      <c r="CG3" s="205" t="s">
        <v>228</v>
      </c>
      <c r="CH3" s="205"/>
      <c r="CI3" s="205"/>
      <c r="CJ3" s="205"/>
      <c r="CK3" s="205"/>
      <c r="CL3" s="205" t="s">
        <v>229</v>
      </c>
      <c r="CM3" s="205"/>
      <c r="CN3" s="205"/>
      <c r="CO3" s="199" t="s">
        <v>230</v>
      </c>
      <c r="CP3" s="199"/>
      <c r="CQ3" s="199"/>
      <c r="CR3" s="206"/>
    </row>
    <row r="4" spans="1:96" ht="52.5" customHeight="1">
      <c r="A4" s="200" t="s">
        <v>218</v>
      </c>
      <c r="B4" s="197"/>
      <c r="C4" s="197"/>
      <c r="D4" s="197" t="s">
        <v>184</v>
      </c>
      <c r="E4" s="197"/>
      <c r="F4" s="197" t="s">
        <v>201</v>
      </c>
      <c r="G4" s="197" t="s">
        <v>231</v>
      </c>
      <c r="H4" s="197" t="s">
        <v>232</v>
      </c>
      <c r="I4" s="197" t="s">
        <v>233</v>
      </c>
      <c r="J4" s="197" t="s">
        <v>234</v>
      </c>
      <c r="K4" s="197" t="s">
        <v>235</v>
      </c>
      <c r="L4" s="197" t="s">
        <v>236</v>
      </c>
      <c r="M4" s="197" t="s">
        <v>237</v>
      </c>
      <c r="N4" s="197" t="s">
        <v>238</v>
      </c>
      <c r="O4" s="197" t="s">
        <v>201</v>
      </c>
      <c r="P4" s="197" t="s">
        <v>239</v>
      </c>
      <c r="Q4" s="197" t="s">
        <v>240</v>
      </c>
      <c r="R4" s="197" t="s">
        <v>241</v>
      </c>
      <c r="S4" s="197" t="s">
        <v>242</v>
      </c>
      <c r="T4" s="197" t="s">
        <v>243</v>
      </c>
      <c r="U4" s="197" t="s">
        <v>244</v>
      </c>
      <c r="V4" s="197" t="s">
        <v>245</v>
      </c>
      <c r="W4" s="197" t="s">
        <v>246</v>
      </c>
      <c r="X4" s="197" t="s">
        <v>247</v>
      </c>
      <c r="Y4" s="197" t="s">
        <v>248</v>
      </c>
      <c r="Z4" s="197" t="s">
        <v>249</v>
      </c>
      <c r="AA4" s="197" t="s">
        <v>250</v>
      </c>
      <c r="AB4" s="197" t="s">
        <v>251</v>
      </c>
      <c r="AC4" s="197" t="s">
        <v>252</v>
      </c>
      <c r="AD4" s="197" t="s">
        <v>253</v>
      </c>
      <c r="AE4" s="197" t="s">
        <v>254</v>
      </c>
      <c r="AF4" s="197" t="s">
        <v>255</v>
      </c>
      <c r="AG4" s="197" t="s">
        <v>256</v>
      </c>
      <c r="AH4" s="197" t="s">
        <v>257</v>
      </c>
      <c r="AI4" s="197" t="s">
        <v>258</v>
      </c>
      <c r="AJ4" s="197" t="s">
        <v>259</v>
      </c>
      <c r="AK4" s="197" t="s">
        <v>260</v>
      </c>
      <c r="AL4" s="197" t="s">
        <v>261</v>
      </c>
      <c r="AM4" s="197" t="s">
        <v>262</v>
      </c>
      <c r="AN4" s="197" t="s">
        <v>263</v>
      </c>
      <c r="AO4" s="197" t="s">
        <v>264</v>
      </c>
      <c r="AP4" s="197" t="s">
        <v>265</v>
      </c>
      <c r="AQ4" s="197" t="s">
        <v>201</v>
      </c>
      <c r="AR4" s="197" t="s">
        <v>266</v>
      </c>
      <c r="AS4" s="197" t="s">
        <v>267</v>
      </c>
      <c r="AT4" s="197" t="s">
        <v>268</v>
      </c>
      <c r="AU4" s="197" t="s">
        <v>269</v>
      </c>
      <c r="AV4" s="197" t="s">
        <v>270</v>
      </c>
      <c r="AW4" s="197" t="s">
        <v>271</v>
      </c>
      <c r="AX4" s="197" t="s">
        <v>272</v>
      </c>
      <c r="AY4" s="197" t="s">
        <v>273</v>
      </c>
      <c r="AZ4" s="197" t="s">
        <v>274</v>
      </c>
      <c r="BA4" s="197" t="s">
        <v>275</v>
      </c>
      <c r="BB4" s="197" t="s">
        <v>276</v>
      </c>
      <c r="BC4" s="197" t="s">
        <v>277</v>
      </c>
      <c r="BD4" s="197" t="s">
        <v>278</v>
      </c>
      <c r="BE4" s="197" t="s">
        <v>279</v>
      </c>
      <c r="BF4" s="197" t="s">
        <v>201</v>
      </c>
      <c r="BG4" s="197" t="s">
        <v>280</v>
      </c>
      <c r="BH4" s="197" t="s">
        <v>281</v>
      </c>
      <c r="BI4" s="197" t="s">
        <v>282</v>
      </c>
      <c r="BJ4" s="197" t="s">
        <v>283</v>
      </c>
      <c r="BK4" s="197" t="s">
        <v>284</v>
      </c>
      <c r="BL4" s="197" t="s">
        <v>285</v>
      </c>
      <c r="BM4" s="197" t="s">
        <v>286</v>
      </c>
      <c r="BN4" s="197" t="s">
        <v>287</v>
      </c>
      <c r="BO4" s="197" t="s">
        <v>288</v>
      </c>
      <c r="BP4" s="197" t="s">
        <v>289</v>
      </c>
      <c r="BQ4" s="197" t="s">
        <v>201</v>
      </c>
      <c r="BR4" s="197" t="s">
        <v>280</v>
      </c>
      <c r="BS4" s="197" t="s">
        <v>281</v>
      </c>
      <c r="BT4" s="197" t="s">
        <v>282</v>
      </c>
      <c r="BU4" s="197" t="s">
        <v>283</v>
      </c>
      <c r="BV4" s="197" t="s">
        <v>284</v>
      </c>
      <c r="BW4" s="197" t="s">
        <v>285</v>
      </c>
      <c r="BX4" s="197" t="s">
        <v>286</v>
      </c>
      <c r="BY4" s="197" t="s">
        <v>290</v>
      </c>
      <c r="BZ4" s="197" t="s">
        <v>291</v>
      </c>
      <c r="CA4" s="197" t="s">
        <v>292</v>
      </c>
      <c r="CB4" s="197" t="s">
        <v>293</v>
      </c>
      <c r="CC4" s="197" t="s">
        <v>287</v>
      </c>
      <c r="CD4" s="197" t="s">
        <v>288</v>
      </c>
      <c r="CE4" s="197" t="s">
        <v>294</v>
      </c>
      <c r="CF4" s="197" t="s">
        <v>227</v>
      </c>
      <c r="CG4" s="197" t="s">
        <v>201</v>
      </c>
      <c r="CH4" s="197" t="s">
        <v>295</v>
      </c>
      <c r="CI4" s="197" t="s">
        <v>296</v>
      </c>
      <c r="CJ4" s="197" t="s">
        <v>297</v>
      </c>
      <c r="CK4" s="197" t="s">
        <v>298</v>
      </c>
      <c r="CL4" s="197" t="s">
        <v>201</v>
      </c>
      <c r="CM4" s="197" t="s">
        <v>299</v>
      </c>
      <c r="CN4" s="197" t="s">
        <v>300</v>
      </c>
      <c r="CO4" s="197" t="s">
        <v>201</v>
      </c>
      <c r="CP4" s="197" t="s">
        <v>301</v>
      </c>
      <c r="CQ4" s="197" t="s">
        <v>302</v>
      </c>
      <c r="CR4" s="198" t="s">
        <v>230</v>
      </c>
    </row>
    <row r="5" spans="1:96" ht="52.5" customHeight="1">
      <c r="A5" s="200"/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  <c r="AA5" s="197"/>
      <c r="AB5" s="197"/>
      <c r="AC5" s="197"/>
      <c r="AD5" s="197"/>
      <c r="AE5" s="197"/>
      <c r="AF5" s="197"/>
      <c r="AG5" s="197"/>
      <c r="AH5" s="197"/>
      <c r="AI5" s="197"/>
      <c r="AJ5" s="197"/>
      <c r="AK5" s="197"/>
      <c r="AL5" s="197"/>
      <c r="AM5" s="197"/>
      <c r="AN5" s="197"/>
      <c r="AO5" s="197"/>
      <c r="AP5" s="197"/>
      <c r="AQ5" s="197"/>
      <c r="AR5" s="197"/>
      <c r="AS5" s="197"/>
      <c r="AT5" s="197"/>
      <c r="AU5" s="197"/>
      <c r="AV5" s="197"/>
      <c r="AW5" s="197"/>
      <c r="AX5" s="197"/>
      <c r="AY5" s="197"/>
      <c r="AZ5" s="197"/>
      <c r="BA5" s="197"/>
      <c r="BB5" s="197"/>
      <c r="BC5" s="197"/>
      <c r="BD5" s="197"/>
      <c r="BE5" s="197"/>
      <c r="BF5" s="197"/>
      <c r="BG5" s="197"/>
      <c r="BH5" s="197"/>
      <c r="BI5" s="197"/>
      <c r="BJ5" s="197"/>
      <c r="BK5" s="197"/>
      <c r="BL5" s="197"/>
      <c r="BM5" s="197"/>
      <c r="BN5" s="197"/>
      <c r="BO5" s="197"/>
      <c r="BP5" s="197"/>
      <c r="BQ5" s="197"/>
      <c r="BR5" s="197"/>
      <c r="BS5" s="197"/>
      <c r="BT5" s="197"/>
      <c r="BU5" s="197"/>
      <c r="BV5" s="197"/>
      <c r="BW5" s="197"/>
      <c r="BX5" s="197"/>
      <c r="BY5" s="197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8"/>
    </row>
    <row r="6" spans="1:96" ht="52.5" customHeight="1">
      <c r="A6" s="200"/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7"/>
      <c r="Z6" s="197"/>
      <c r="AA6" s="197"/>
      <c r="AB6" s="197"/>
      <c r="AC6" s="197"/>
      <c r="AD6" s="197"/>
      <c r="AE6" s="197"/>
      <c r="AF6" s="197"/>
      <c r="AG6" s="197"/>
      <c r="AH6" s="197"/>
      <c r="AI6" s="197"/>
      <c r="AJ6" s="197"/>
      <c r="AK6" s="197"/>
      <c r="AL6" s="197"/>
      <c r="AM6" s="197"/>
      <c r="AN6" s="197"/>
      <c r="AO6" s="197"/>
      <c r="AP6" s="197"/>
      <c r="AQ6" s="197"/>
      <c r="AR6" s="197"/>
      <c r="AS6" s="197"/>
      <c r="AT6" s="197"/>
      <c r="AU6" s="197"/>
      <c r="AV6" s="197"/>
      <c r="AW6" s="197"/>
      <c r="AX6" s="197"/>
      <c r="AY6" s="197"/>
      <c r="AZ6" s="197"/>
      <c r="BA6" s="197"/>
      <c r="BB6" s="197"/>
      <c r="BC6" s="197"/>
      <c r="BD6" s="197"/>
      <c r="BE6" s="197"/>
      <c r="BF6" s="197"/>
      <c r="BG6" s="197"/>
      <c r="BH6" s="197"/>
      <c r="BI6" s="197"/>
      <c r="BJ6" s="197"/>
      <c r="BK6" s="197"/>
      <c r="BL6" s="197"/>
      <c r="BM6" s="197"/>
      <c r="BN6" s="197"/>
      <c r="BO6" s="197"/>
      <c r="BP6" s="197"/>
      <c r="BQ6" s="197"/>
      <c r="BR6" s="197"/>
      <c r="BS6" s="197"/>
      <c r="BT6" s="197"/>
      <c r="BU6" s="197"/>
      <c r="BV6" s="197"/>
      <c r="BW6" s="197"/>
      <c r="BX6" s="197"/>
      <c r="BY6" s="197"/>
      <c r="BZ6" s="197"/>
      <c r="CA6" s="197"/>
      <c r="CB6" s="197"/>
      <c r="CC6" s="197"/>
      <c r="CD6" s="197"/>
      <c r="CE6" s="197"/>
      <c r="CF6" s="197"/>
      <c r="CG6" s="197"/>
      <c r="CH6" s="197"/>
      <c r="CI6" s="197"/>
      <c r="CJ6" s="197"/>
      <c r="CK6" s="197"/>
      <c r="CL6" s="197"/>
      <c r="CM6" s="197"/>
      <c r="CN6" s="197"/>
      <c r="CO6" s="197"/>
      <c r="CP6" s="197"/>
      <c r="CQ6" s="197"/>
      <c r="CR6" s="198"/>
    </row>
    <row r="7" spans="1:96" ht="33" customHeight="1">
      <c r="A7" s="200" t="s">
        <v>185</v>
      </c>
      <c r="B7" s="197" t="s">
        <v>186</v>
      </c>
      <c r="C7" s="197" t="s">
        <v>187</v>
      </c>
      <c r="D7" s="36" t="s">
        <v>9</v>
      </c>
      <c r="E7" s="36" t="s">
        <v>11</v>
      </c>
      <c r="F7" s="36" t="s">
        <v>17</v>
      </c>
      <c r="G7" s="36" t="s">
        <v>23</v>
      </c>
      <c r="H7" s="36" t="s">
        <v>29</v>
      </c>
      <c r="I7" s="36" t="s">
        <v>35</v>
      </c>
      <c r="J7" s="36" t="s">
        <v>41</v>
      </c>
      <c r="K7" s="36" t="s">
        <v>47</v>
      </c>
      <c r="L7" s="36" t="s">
        <v>52</v>
      </c>
      <c r="M7" s="36" t="s">
        <v>57</v>
      </c>
      <c r="N7" s="36" t="s">
        <v>62</v>
      </c>
      <c r="O7" s="36" t="s">
        <v>66</v>
      </c>
      <c r="P7" s="36" t="s">
        <v>71</v>
      </c>
      <c r="Q7" s="36" t="s">
        <v>76</v>
      </c>
      <c r="R7" s="36" t="s">
        <v>81</v>
      </c>
      <c r="S7" s="36" t="s">
        <v>86</v>
      </c>
      <c r="T7" s="36" t="s">
        <v>91</v>
      </c>
      <c r="U7" s="36" t="s">
        <v>96</v>
      </c>
      <c r="V7" s="36" t="s">
        <v>101</v>
      </c>
      <c r="W7" s="36" t="s">
        <v>106</v>
      </c>
      <c r="X7" s="36" t="s">
        <v>111</v>
      </c>
      <c r="Y7" s="36" t="s">
        <v>116</v>
      </c>
      <c r="Z7" s="36" t="s">
        <v>121</v>
      </c>
      <c r="AA7" s="36" t="s">
        <v>126</v>
      </c>
      <c r="AB7" s="36" t="s">
        <v>130</v>
      </c>
      <c r="AC7" s="36" t="s">
        <v>134</v>
      </c>
      <c r="AD7" s="36" t="s">
        <v>138</v>
      </c>
      <c r="AE7" s="36" t="s">
        <v>144</v>
      </c>
      <c r="AF7" s="36" t="s">
        <v>150</v>
      </c>
      <c r="AG7" s="36" t="s">
        <v>156</v>
      </c>
      <c r="AH7" s="36" t="s">
        <v>161</v>
      </c>
      <c r="AI7" s="36" t="s">
        <v>166</v>
      </c>
      <c r="AJ7" s="36" t="s">
        <v>168</v>
      </c>
      <c r="AK7" s="36" t="s">
        <v>170</v>
      </c>
      <c r="AL7" s="36" t="s">
        <v>207</v>
      </c>
      <c r="AM7" s="36" t="s">
        <v>208</v>
      </c>
      <c r="AN7" s="36" t="s">
        <v>173</v>
      </c>
      <c r="AO7" s="36" t="s">
        <v>13</v>
      </c>
      <c r="AP7" s="36" t="s">
        <v>19</v>
      </c>
      <c r="AQ7" s="36" t="s">
        <v>25</v>
      </c>
      <c r="AR7" s="36" t="s">
        <v>31</v>
      </c>
      <c r="AS7" s="36" t="s">
        <v>37</v>
      </c>
      <c r="AT7" s="36" t="s">
        <v>43</v>
      </c>
      <c r="AU7" s="36" t="s">
        <v>49</v>
      </c>
      <c r="AV7" s="36" t="s">
        <v>54</v>
      </c>
      <c r="AW7" s="36" t="s">
        <v>59</v>
      </c>
      <c r="AX7" s="36" t="s">
        <v>64</v>
      </c>
      <c r="AY7" s="36" t="s">
        <v>68</v>
      </c>
      <c r="AZ7" s="36" t="s">
        <v>73</v>
      </c>
      <c r="BA7" s="36" t="s">
        <v>78</v>
      </c>
      <c r="BB7" s="36" t="s">
        <v>83</v>
      </c>
      <c r="BC7" s="36" t="s">
        <v>88</v>
      </c>
      <c r="BD7" s="36" t="s">
        <v>93</v>
      </c>
      <c r="BE7" s="36" t="s">
        <v>98</v>
      </c>
      <c r="BF7" s="36" t="s">
        <v>103</v>
      </c>
      <c r="BG7" s="36" t="s">
        <v>108</v>
      </c>
      <c r="BH7" s="36" t="s">
        <v>113</v>
      </c>
      <c r="BI7" s="36" t="s">
        <v>118</v>
      </c>
      <c r="BJ7" s="36" t="s">
        <v>123</v>
      </c>
      <c r="BK7" s="36" t="s">
        <v>127</v>
      </c>
      <c r="BL7" s="36" t="s">
        <v>15</v>
      </c>
      <c r="BM7" s="36" t="s">
        <v>21</v>
      </c>
      <c r="BN7" s="36" t="s">
        <v>27</v>
      </c>
      <c r="BO7" s="36" t="s">
        <v>33</v>
      </c>
      <c r="BP7" s="36" t="s">
        <v>39</v>
      </c>
      <c r="BQ7" s="36" t="s">
        <v>45</v>
      </c>
      <c r="BR7" s="36" t="s">
        <v>51</v>
      </c>
      <c r="BS7" s="36" t="s">
        <v>56</v>
      </c>
      <c r="BT7" s="36" t="s">
        <v>61</v>
      </c>
      <c r="BU7" s="36" t="s">
        <v>65</v>
      </c>
      <c r="BV7" s="36" t="s">
        <v>70</v>
      </c>
      <c r="BW7" s="36" t="s">
        <v>75</v>
      </c>
      <c r="BX7" s="36" t="s">
        <v>80</v>
      </c>
      <c r="BY7" s="36" t="s">
        <v>85</v>
      </c>
      <c r="BZ7" s="36" t="s">
        <v>90</v>
      </c>
      <c r="CA7" s="36" t="s">
        <v>95</v>
      </c>
      <c r="CB7" s="36" t="s">
        <v>100</v>
      </c>
      <c r="CC7" s="36" t="s">
        <v>105</v>
      </c>
      <c r="CD7" s="36" t="s">
        <v>110</v>
      </c>
      <c r="CE7" s="36" t="s">
        <v>115</v>
      </c>
      <c r="CF7" s="36" t="s">
        <v>120</v>
      </c>
      <c r="CG7" s="36" t="s">
        <v>125</v>
      </c>
      <c r="CH7" s="36" t="s">
        <v>128</v>
      </c>
      <c r="CI7" s="36" t="s">
        <v>132</v>
      </c>
      <c r="CJ7" s="36" t="s">
        <v>136</v>
      </c>
      <c r="CK7" s="36" t="s">
        <v>142</v>
      </c>
      <c r="CL7" s="36" t="s">
        <v>148</v>
      </c>
      <c r="CM7" s="36" t="s">
        <v>154</v>
      </c>
      <c r="CN7" s="36" t="s">
        <v>160</v>
      </c>
      <c r="CO7" s="36" t="s">
        <v>165</v>
      </c>
      <c r="CP7" s="36" t="s">
        <v>167</v>
      </c>
      <c r="CQ7" s="36" t="s">
        <v>169</v>
      </c>
      <c r="CR7" s="37" t="s">
        <v>171</v>
      </c>
    </row>
    <row r="8" spans="1:96" s="96" customFormat="1" ht="36" customHeight="1">
      <c r="A8" s="201"/>
      <c r="B8" s="202"/>
      <c r="C8" s="202"/>
      <c r="D8" s="42" t="s">
        <v>188</v>
      </c>
      <c r="E8" s="133">
        <f>9131931.36/10000</f>
        <v>913.193136</v>
      </c>
      <c r="F8" s="133">
        <f>5079213.22/10000</f>
        <v>507.921322</v>
      </c>
      <c r="G8" s="133">
        <f>1527529.5/10000</f>
        <v>152.75295</v>
      </c>
      <c r="H8" s="133">
        <f>3012851.5/10000</f>
        <v>301.28515</v>
      </c>
      <c r="I8" s="133">
        <f>286263.9/10000</f>
        <v>28.62639</v>
      </c>
      <c r="J8" s="133">
        <f>91066.26/10000</f>
        <v>9.106626</v>
      </c>
      <c r="K8" s="41" t="s">
        <v>308</v>
      </c>
      <c r="L8" s="133"/>
      <c r="M8" s="133"/>
      <c r="N8" s="133">
        <f>161502.06/10000</f>
        <v>16.150206</v>
      </c>
      <c r="O8" s="133">
        <f>599534.93/10000</f>
        <v>59.953493</v>
      </c>
      <c r="P8" s="133">
        <f>80772.5/10000</f>
        <v>8.07725</v>
      </c>
      <c r="Q8" s="133"/>
      <c r="R8" s="133"/>
      <c r="S8" s="133">
        <f>2258/10000</f>
        <v>0.2258</v>
      </c>
      <c r="T8" s="133">
        <f>40057/10000</f>
        <v>4.0057</v>
      </c>
      <c r="U8" s="133">
        <f>46760.54/10000</f>
        <v>4.676054</v>
      </c>
      <c r="V8" s="133">
        <f>22115.97/10000</f>
        <v>2.2115970000000003</v>
      </c>
      <c r="W8" s="134"/>
      <c r="X8" s="133">
        <f>8620.01/10000</f>
        <v>0.862001</v>
      </c>
      <c r="Y8" s="133">
        <f>19850/10000</f>
        <v>1.985</v>
      </c>
      <c r="Z8" s="133"/>
      <c r="AA8" s="133">
        <f>51120.4/10000</f>
        <v>5.11204</v>
      </c>
      <c r="AB8" s="133"/>
      <c r="AC8" s="133">
        <f>3190/10000</f>
        <v>0.319</v>
      </c>
      <c r="AD8" s="133">
        <f>3800/10000</f>
        <v>0.38</v>
      </c>
      <c r="AE8" s="133">
        <f>7235.3/10000</f>
        <v>0.72353</v>
      </c>
      <c r="AF8" s="133"/>
      <c r="AG8" s="133"/>
      <c r="AH8" s="133"/>
      <c r="AI8" s="133">
        <f>2000/10000</f>
        <v>0.2</v>
      </c>
      <c r="AJ8" s="133"/>
      <c r="AK8" s="133"/>
      <c r="AL8" s="133"/>
      <c r="AM8" s="133">
        <f>111704.21/10000</f>
        <v>11.170421000000001</v>
      </c>
      <c r="AN8" s="133">
        <f>77083/10000</f>
        <v>7.7083</v>
      </c>
      <c r="AO8" s="133"/>
      <c r="AP8" s="133">
        <f>122968/10000</f>
        <v>12.2968</v>
      </c>
      <c r="AQ8" s="133">
        <f>3453183.21/10000</f>
        <v>345.31832099999997</v>
      </c>
      <c r="AR8" s="133">
        <f>365086/10000</f>
        <v>36.5086</v>
      </c>
      <c r="AS8" s="133">
        <f>1808641.18/10000</f>
        <v>180.864118</v>
      </c>
      <c r="AT8" s="133"/>
      <c r="AU8" s="133"/>
      <c r="AV8" s="133"/>
      <c r="AW8" s="133"/>
      <c r="AX8" s="133">
        <f>427077.58/10000</f>
        <v>42.707758</v>
      </c>
      <c r="AY8" s="133"/>
      <c r="AZ8" s="133">
        <f>313431.45/10000</f>
        <v>31.343145</v>
      </c>
      <c r="BA8" s="133"/>
      <c r="BB8" s="133">
        <f>517341/10000</f>
        <v>51.7341</v>
      </c>
      <c r="BC8" s="134"/>
      <c r="BD8" s="133"/>
      <c r="BE8" s="133">
        <f>21606/10000</f>
        <v>2.1606</v>
      </c>
      <c r="BF8" s="41" t="s">
        <v>308</v>
      </c>
      <c r="BG8" s="41" t="s">
        <v>308</v>
      </c>
      <c r="BH8" s="41" t="s">
        <v>308</v>
      </c>
      <c r="BI8" s="41" t="s">
        <v>308</v>
      </c>
      <c r="BJ8" s="41" t="s">
        <v>308</v>
      </c>
      <c r="BK8" s="41" t="s">
        <v>308</v>
      </c>
      <c r="BL8" s="41" t="s">
        <v>308</v>
      </c>
      <c r="BM8" s="41" t="s">
        <v>308</v>
      </c>
      <c r="BN8" s="41" t="s">
        <v>308</v>
      </c>
      <c r="BO8" s="41" t="s">
        <v>308</v>
      </c>
      <c r="BP8" s="41" t="s">
        <v>308</v>
      </c>
      <c r="BQ8" s="133"/>
      <c r="BR8" s="134"/>
      <c r="BS8" s="133"/>
      <c r="BT8" s="133"/>
      <c r="BU8" s="134"/>
      <c r="BV8" s="134"/>
      <c r="BW8" s="133"/>
      <c r="BX8" s="134"/>
      <c r="BY8" s="134"/>
      <c r="BZ8" s="134"/>
      <c r="CA8" s="134"/>
      <c r="CB8" s="134"/>
      <c r="CC8" s="133"/>
      <c r="CD8" s="133"/>
      <c r="CE8" s="41" t="s">
        <v>308</v>
      </c>
      <c r="CF8" s="133"/>
      <c r="CG8" s="133"/>
      <c r="CH8" s="133"/>
      <c r="CI8" s="133"/>
      <c r="CJ8" s="133"/>
      <c r="CK8" s="133"/>
      <c r="CL8" s="133"/>
      <c r="CM8" s="133"/>
      <c r="CN8" s="134"/>
      <c r="CO8" s="133"/>
      <c r="CP8" s="133"/>
      <c r="CQ8" s="41" t="s">
        <v>308</v>
      </c>
      <c r="CR8" s="40" t="s">
        <v>308</v>
      </c>
    </row>
    <row r="9" spans="1:96" s="96" customFormat="1" ht="25.5" customHeight="1">
      <c r="A9" s="151">
        <v>201</v>
      </c>
      <c r="B9" s="151">
        <v>201</v>
      </c>
      <c r="C9" s="151">
        <v>201</v>
      </c>
      <c r="D9" s="99" t="s">
        <v>344</v>
      </c>
      <c r="E9" s="135">
        <f>73950/10000</f>
        <v>7.395</v>
      </c>
      <c r="F9" s="113"/>
      <c r="G9" s="113"/>
      <c r="H9" s="113"/>
      <c r="I9" s="113"/>
      <c r="J9" s="113"/>
      <c r="K9" s="100" t="s">
        <v>308</v>
      </c>
      <c r="L9" s="113"/>
      <c r="M9" s="113"/>
      <c r="N9" s="113"/>
      <c r="O9" s="135">
        <f>73950/10000</f>
        <v>7.395</v>
      </c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35">
        <f>73950/10000</f>
        <v>7.395</v>
      </c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113"/>
      <c r="BF9" s="100" t="s">
        <v>308</v>
      </c>
      <c r="BG9" s="100" t="s">
        <v>308</v>
      </c>
      <c r="BH9" s="100" t="s">
        <v>308</v>
      </c>
      <c r="BI9" s="100" t="s">
        <v>308</v>
      </c>
      <c r="BJ9" s="100" t="s">
        <v>308</v>
      </c>
      <c r="BK9" s="100" t="s">
        <v>308</v>
      </c>
      <c r="BL9" s="100" t="s">
        <v>308</v>
      </c>
      <c r="BM9" s="100" t="s">
        <v>308</v>
      </c>
      <c r="BN9" s="100" t="s">
        <v>308</v>
      </c>
      <c r="BO9" s="100" t="s">
        <v>308</v>
      </c>
      <c r="BP9" s="100" t="s">
        <v>308</v>
      </c>
      <c r="BQ9" s="113"/>
      <c r="BR9" s="113"/>
      <c r="BS9" s="113"/>
      <c r="BT9" s="113"/>
      <c r="BU9" s="113"/>
      <c r="BV9" s="113"/>
      <c r="BW9" s="113"/>
      <c r="BX9" s="113"/>
      <c r="BY9" s="113"/>
      <c r="BZ9" s="113"/>
      <c r="CA9" s="113"/>
      <c r="CB9" s="113"/>
      <c r="CC9" s="113"/>
      <c r="CD9" s="113"/>
      <c r="CE9" s="100" t="s">
        <v>308</v>
      </c>
      <c r="CF9" s="113"/>
      <c r="CG9" s="113"/>
      <c r="CH9" s="113"/>
      <c r="CI9" s="113"/>
      <c r="CJ9" s="113"/>
      <c r="CK9" s="113"/>
      <c r="CL9" s="113"/>
      <c r="CM9" s="113"/>
      <c r="CN9" s="113"/>
      <c r="CO9" s="113"/>
      <c r="CP9" s="113"/>
      <c r="CQ9" s="100" t="s">
        <v>308</v>
      </c>
      <c r="CR9" s="100" t="s">
        <v>308</v>
      </c>
    </row>
    <row r="10" spans="1:96" s="96" customFormat="1" ht="25.5" customHeight="1">
      <c r="A10" s="151">
        <v>20199</v>
      </c>
      <c r="B10" s="151">
        <v>20199</v>
      </c>
      <c r="C10" s="151">
        <v>20199</v>
      </c>
      <c r="D10" s="99" t="s">
        <v>345</v>
      </c>
      <c r="E10" s="135">
        <f>73950/10000</f>
        <v>7.395</v>
      </c>
      <c r="F10" s="113"/>
      <c r="G10" s="113"/>
      <c r="H10" s="113"/>
      <c r="I10" s="113"/>
      <c r="J10" s="113"/>
      <c r="K10" s="100" t="s">
        <v>308</v>
      </c>
      <c r="L10" s="113"/>
      <c r="M10" s="113"/>
      <c r="N10" s="113"/>
      <c r="O10" s="135">
        <f>73950/10000</f>
        <v>7.395</v>
      </c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35">
        <f>73950/10000</f>
        <v>7.395</v>
      </c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00" t="s">
        <v>308</v>
      </c>
      <c r="BG10" s="100" t="s">
        <v>308</v>
      </c>
      <c r="BH10" s="100" t="s">
        <v>308</v>
      </c>
      <c r="BI10" s="100" t="s">
        <v>308</v>
      </c>
      <c r="BJ10" s="100" t="s">
        <v>308</v>
      </c>
      <c r="BK10" s="100" t="s">
        <v>308</v>
      </c>
      <c r="BL10" s="100" t="s">
        <v>308</v>
      </c>
      <c r="BM10" s="100" t="s">
        <v>308</v>
      </c>
      <c r="BN10" s="100" t="s">
        <v>308</v>
      </c>
      <c r="BO10" s="100" t="s">
        <v>308</v>
      </c>
      <c r="BP10" s="100" t="s">
        <v>308</v>
      </c>
      <c r="BQ10" s="113"/>
      <c r="BR10" s="113"/>
      <c r="BS10" s="113"/>
      <c r="BT10" s="113"/>
      <c r="BU10" s="113"/>
      <c r="BV10" s="113"/>
      <c r="BW10" s="113"/>
      <c r="BX10" s="113"/>
      <c r="BY10" s="113"/>
      <c r="BZ10" s="113"/>
      <c r="CA10" s="113"/>
      <c r="CB10" s="113"/>
      <c r="CC10" s="113"/>
      <c r="CD10" s="113"/>
      <c r="CE10" s="100" t="s">
        <v>308</v>
      </c>
      <c r="CF10" s="113"/>
      <c r="CG10" s="113"/>
      <c r="CH10" s="113"/>
      <c r="CI10" s="113"/>
      <c r="CJ10" s="113"/>
      <c r="CK10" s="113"/>
      <c r="CL10" s="113"/>
      <c r="CM10" s="113"/>
      <c r="CN10" s="113"/>
      <c r="CO10" s="113"/>
      <c r="CP10" s="113"/>
      <c r="CQ10" s="100" t="s">
        <v>308</v>
      </c>
      <c r="CR10" s="100" t="s">
        <v>308</v>
      </c>
    </row>
    <row r="11" spans="1:96" s="96" customFormat="1" ht="25.5" customHeight="1">
      <c r="A11" s="151">
        <v>2019999</v>
      </c>
      <c r="B11" s="151">
        <v>2019999</v>
      </c>
      <c r="C11" s="151">
        <v>2019999</v>
      </c>
      <c r="D11" s="99" t="s">
        <v>396</v>
      </c>
      <c r="E11" s="135">
        <f>73950/10000</f>
        <v>7.395</v>
      </c>
      <c r="F11" s="113"/>
      <c r="G11" s="113"/>
      <c r="H11" s="113"/>
      <c r="I11" s="113"/>
      <c r="J11" s="113"/>
      <c r="K11" s="100" t="s">
        <v>308</v>
      </c>
      <c r="L11" s="113"/>
      <c r="M11" s="113"/>
      <c r="N11" s="113"/>
      <c r="O11" s="135">
        <f>73950/10000</f>
        <v>7.395</v>
      </c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35">
        <f>73950/10000</f>
        <v>7.395</v>
      </c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00" t="s">
        <v>308</v>
      </c>
      <c r="BG11" s="100" t="s">
        <v>308</v>
      </c>
      <c r="BH11" s="100" t="s">
        <v>308</v>
      </c>
      <c r="BI11" s="100" t="s">
        <v>308</v>
      </c>
      <c r="BJ11" s="100" t="s">
        <v>308</v>
      </c>
      <c r="BK11" s="100" t="s">
        <v>308</v>
      </c>
      <c r="BL11" s="100" t="s">
        <v>308</v>
      </c>
      <c r="BM11" s="100" t="s">
        <v>308</v>
      </c>
      <c r="BN11" s="100" t="s">
        <v>308</v>
      </c>
      <c r="BO11" s="100" t="s">
        <v>308</v>
      </c>
      <c r="BP11" s="100" t="s">
        <v>308</v>
      </c>
      <c r="BQ11" s="113"/>
      <c r="BR11" s="113"/>
      <c r="BS11" s="113"/>
      <c r="BT11" s="113"/>
      <c r="BU11" s="113"/>
      <c r="BV11" s="113"/>
      <c r="BW11" s="113"/>
      <c r="BX11" s="113"/>
      <c r="BY11" s="113"/>
      <c r="BZ11" s="113"/>
      <c r="CA11" s="113"/>
      <c r="CB11" s="113"/>
      <c r="CC11" s="113"/>
      <c r="CD11" s="113"/>
      <c r="CE11" s="100" t="s">
        <v>308</v>
      </c>
      <c r="CF11" s="113"/>
      <c r="CG11" s="113"/>
      <c r="CH11" s="113"/>
      <c r="CI11" s="113"/>
      <c r="CJ11" s="113"/>
      <c r="CK11" s="113"/>
      <c r="CL11" s="113"/>
      <c r="CM11" s="113"/>
      <c r="CN11" s="113"/>
      <c r="CO11" s="113"/>
      <c r="CP11" s="113"/>
      <c r="CQ11" s="100" t="s">
        <v>308</v>
      </c>
      <c r="CR11" s="100" t="s">
        <v>308</v>
      </c>
    </row>
    <row r="12" spans="1:96" s="96" customFormat="1" ht="25.5" customHeight="1">
      <c r="A12" s="151">
        <v>208</v>
      </c>
      <c r="B12" s="151">
        <v>208</v>
      </c>
      <c r="C12" s="151">
        <v>208</v>
      </c>
      <c r="D12" s="99" t="s">
        <v>347</v>
      </c>
      <c r="E12" s="135">
        <f>2291727.18/10000</f>
        <v>229.172718</v>
      </c>
      <c r="F12" s="113"/>
      <c r="G12" s="113"/>
      <c r="H12" s="113"/>
      <c r="I12" s="113"/>
      <c r="J12" s="113"/>
      <c r="K12" s="100" t="s">
        <v>308</v>
      </c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35">
        <f>2291727.18/10000</f>
        <v>229.172718</v>
      </c>
      <c r="AR12" s="135">
        <f>365086/10000</f>
        <v>36.5086</v>
      </c>
      <c r="AS12" s="135">
        <f>1808641.18/10000</f>
        <v>180.864118</v>
      </c>
      <c r="AT12" s="113"/>
      <c r="AU12" s="113"/>
      <c r="AV12" s="113"/>
      <c r="AW12" s="113"/>
      <c r="AX12" s="135">
        <f>118000/10000</f>
        <v>11.8</v>
      </c>
      <c r="AY12" s="113"/>
      <c r="AZ12" s="113"/>
      <c r="BA12" s="113"/>
      <c r="BB12" s="113"/>
      <c r="BC12" s="113"/>
      <c r="BD12" s="113"/>
      <c r="BE12" s="113"/>
      <c r="BF12" s="100" t="s">
        <v>308</v>
      </c>
      <c r="BG12" s="100" t="s">
        <v>308</v>
      </c>
      <c r="BH12" s="100" t="s">
        <v>308</v>
      </c>
      <c r="BI12" s="100" t="s">
        <v>308</v>
      </c>
      <c r="BJ12" s="100" t="s">
        <v>308</v>
      </c>
      <c r="BK12" s="100" t="s">
        <v>308</v>
      </c>
      <c r="BL12" s="100" t="s">
        <v>308</v>
      </c>
      <c r="BM12" s="100" t="s">
        <v>308</v>
      </c>
      <c r="BN12" s="100" t="s">
        <v>308</v>
      </c>
      <c r="BO12" s="100" t="s">
        <v>308</v>
      </c>
      <c r="BP12" s="100" t="s">
        <v>308</v>
      </c>
      <c r="BQ12" s="113"/>
      <c r="BR12" s="113"/>
      <c r="BS12" s="113"/>
      <c r="BT12" s="113"/>
      <c r="BU12" s="113"/>
      <c r="BV12" s="113"/>
      <c r="BW12" s="113"/>
      <c r="BX12" s="113"/>
      <c r="BY12" s="113"/>
      <c r="BZ12" s="113"/>
      <c r="CA12" s="113"/>
      <c r="CB12" s="113"/>
      <c r="CC12" s="113"/>
      <c r="CD12" s="113"/>
      <c r="CE12" s="100" t="s">
        <v>308</v>
      </c>
      <c r="CF12" s="113"/>
      <c r="CG12" s="135"/>
      <c r="CH12" s="113"/>
      <c r="CI12" s="113"/>
      <c r="CJ12" s="113"/>
      <c r="CK12" s="135"/>
      <c r="CL12" s="113"/>
      <c r="CM12" s="113"/>
      <c r="CN12" s="113"/>
      <c r="CO12" s="113"/>
      <c r="CP12" s="113"/>
      <c r="CQ12" s="100" t="s">
        <v>308</v>
      </c>
      <c r="CR12" s="100" t="s">
        <v>308</v>
      </c>
    </row>
    <row r="13" spans="1:96" s="96" customFormat="1" ht="25.5" customHeight="1">
      <c r="A13" s="151">
        <v>20805</v>
      </c>
      <c r="B13" s="151">
        <v>20805</v>
      </c>
      <c r="C13" s="151">
        <v>20805</v>
      </c>
      <c r="D13" s="99" t="s">
        <v>348</v>
      </c>
      <c r="E13" s="135">
        <f>2291727.18/10000</f>
        <v>229.172718</v>
      </c>
      <c r="F13" s="113"/>
      <c r="G13" s="113"/>
      <c r="H13" s="113"/>
      <c r="I13" s="113"/>
      <c r="J13" s="113"/>
      <c r="K13" s="100" t="s">
        <v>308</v>
      </c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35">
        <f>2291727.18/10000</f>
        <v>229.172718</v>
      </c>
      <c r="AR13" s="135">
        <f>365086/10000</f>
        <v>36.5086</v>
      </c>
      <c r="AS13" s="135">
        <f>1808641.18/10000</f>
        <v>180.864118</v>
      </c>
      <c r="AT13" s="113"/>
      <c r="AU13" s="113"/>
      <c r="AV13" s="113"/>
      <c r="AW13" s="113"/>
      <c r="AX13" s="135">
        <f>118000/10000</f>
        <v>11.8</v>
      </c>
      <c r="AY13" s="113"/>
      <c r="AZ13" s="113"/>
      <c r="BA13" s="113"/>
      <c r="BB13" s="113"/>
      <c r="BC13" s="113"/>
      <c r="BD13" s="113"/>
      <c r="BE13" s="113"/>
      <c r="BF13" s="100" t="s">
        <v>308</v>
      </c>
      <c r="BG13" s="100" t="s">
        <v>308</v>
      </c>
      <c r="BH13" s="100" t="s">
        <v>308</v>
      </c>
      <c r="BI13" s="100" t="s">
        <v>308</v>
      </c>
      <c r="BJ13" s="100" t="s">
        <v>308</v>
      </c>
      <c r="BK13" s="100" t="s">
        <v>308</v>
      </c>
      <c r="BL13" s="100" t="s">
        <v>308</v>
      </c>
      <c r="BM13" s="100" t="s">
        <v>308</v>
      </c>
      <c r="BN13" s="100" t="s">
        <v>308</v>
      </c>
      <c r="BO13" s="100" t="s">
        <v>308</v>
      </c>
      <c r="BP13" s="100" t="s">
        <v>308</v>
      </c>
      <c r="BQ13" s="113"/>
      <c r="BR13" s="113"/>
      <c r="BS13" s="113"/>
      <c r="BT13" s="113"/>
      <c r="BU13" s="113"/>
      <c r="BV13" s="113"/>
      <c r="BW13" s="113"/>
      <c r="BX13" s="113"/>
      <c r="BY13" s="113"/>
      <c r="BZ13" s="113"/>
      <c r="CA13" s="113"/>
      <c r="CB13" s="113"/>
      <c r="CC13" s="113"/>
      <c r="CD13" s="113"/>
      <c r="CE13" s="100" t="s">
        <v>308</v>
      </c>
      <c r="CF13" s="113"/>
      <c r="CG13" s="113"/>
      <c r="CH13" s="113"/>
      <c r="CI13" s="113"/>
      <c r="CJ13" s="113"/>
      <c r="CK13" s="113"/>
      <c r="CL13" s="113"/>
      <c r="CM13" s="113"/>
      <c r="CN13" s="113"/>
      <c r="CO13" s="113"/>
      <c r="CP13" s="113"/>
      <c r="CQ13" s="100" t="s">
        <v>308</v>
      </c>
      <c r="CR13" s="100" t="s">
        <v>308</v>
      </c>
    </row>
    <row r="14" spans="1:96" s="96" customFormat="1" ht="25.5" customHeight="1">
      <c r="A14" s="151">
        <v>2080501</v>
      </c>
      <c r="B14" s="151">
        <v>2080501</v>
      </c>
      <c r="C14" s="151">
        <v>2080501</v>
      </c>
      <c r="D14" s="99" t="s">
        <v>397</v>
      </c>
      <c r="E14" s="135">
        <f>2291727.18/10000</f>
        <v>229.172718</v>
      </c>
      <c r="F14" s="113"/>
      <c r="G14" s="113"/>
      <c r="H14" s="113"/>
      <c r="I14" s="113"/>
      <c r="J14" s="113"/>
      <c r="K14" s="100" t="s">
        <v>308</v>
      </c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35">
        <f>2291727.18/10000</f>
        <v>229.172718</v>
      </c>
      <c r="AR14" s="135">
        <f>365086/10000</f>
        <v>36.5086</v>
      </c>
      <c r="AS14" s="135">
        <f>1808641.18/10000</f>
        <v>180.864118</v>
      </c>
      <c r="AT14" s="113"/>
      <c r="AU14" s="113"/>
      <c r="AV14" s="113"/>
      <c r="AW14" s="113"/>
      <c r="AX14" s="135">
        <f>118000/10000</f>
        <v>11.8</v>
      </c>
      <c r="AY14" s="113"/>
      <c r="AZ14" s="113"/>
      <c r="BA14" s="113"/>
      <c r="BB14" s="113"/>
      <c r="BC14" s="113"/>
      <c r="BD14" s="113"/>
      <c r="BE14" s="113"/>
      <c r="BF14" s="100" t="s">
        <v>308</v>
      </c>
      <c r="BG14" s="100" t="s">
        <v>308</v>
      </c>
      <c r="BH14" s="100" t="s">
        <v>308</v>
      </c>
      <c r="BI14" s="100" t="s">
        <v>308</v>
      </c>
      <c r="BJ14" s="100" t="s">
        <v>308</v>
      </c>
      <c r="BK14" s="100" t="s">
        <v>308</v>
      </c>
      <c r="BL14" s="100" t="s">
        <v>308</v>
      </c>
      <c r="BM14" s="100" t="s">
        <v>308</v>
      </c>
      <c r="BN14" s="100" t="s">
        <v>308</v>
      </c>
      <c r="BO14" s="100" t="s">
        <v>308</v>
      </c>
      <c r="BP14" s="100" t="s">
        <v>308</v>
      </c>
      <c r="BQ14" s="113"/>
      <c r="BR14" s="113"/>
      <c r="BS14" s="113"/>
      <c r="BT14" s="113"/>
      <c r="BU14" s="113"/>
      <c r="BV14" s="113"/>
      <c r="BW14" s="113"/>
      <c r="BX14" s="113"/>
      <c r="BY14" s="113"/>
      <c r="BZ14" s="113"/>
      <c r="CA14" s="113"/>
      <c r="CB14" s="113"/>
      <c r="CC14" s="113"/>
      <c r="CD14" s="113"/>
      <c r="CE14" s="100" t="s">
        <v>308</v>
      </c>
      <c r="CF14" s="113"/>
      <c r="CG14" s="113"/>
      <c r="CH14" s="113"/>
      <c r="CI14" s="113"/>
      <c r="CJ14" s="113"/>
      <c r="CK14" s="113"/>
      <c r="CL14" s="113"/>
      <c r="CM14" s="113"/>
      <c r="CN14" s="113"/>
      <c r="CO14" s="113"/>
      <c r="CP14" s="113"/>
      <c r="CQ14" s="100" t="s">
        <v>308</v>
      </c>
      <c r="CR14" s="100" t="s">
        <v>308</v>
      </c>
    </row>
    <row r="15" spans="1:96" s="96" customFormat="1" ht="25.5" customHeight="1">
      <c r="A15" s="151">
        <v>211</v>
      </c>
      <c r="B15" s="151">
        <v>211</v>
      </c>
      <c r="C15" s="151">
        <v>211</v>
      </c>
      <c r="D15" s="99" t="s">
        <v>351</v>
      </c>
      <c r="E15" s="135">
        <f>6309674.21/10000</f>
        <v>630.967421</v>
      </c>
      <c r="F15" s="135">
        <f>5079213.22/10000</f>
        <v>507.921322</v>
      </c>
      <c r="G15" s="135">
        <f>1527529.5/10000</f>
        <v>152.75295</v>
      </c>
      <c r="H15" s="135">
        <f>3012851.5/10000</f>
        <v>301.28515</v>
      </c>
      <c r="I15" s="135">
        <f>286263.9/10000</f>
        <v>28.62639</v>
      </c>
      <c r="J15" s="135">
        <f>91066.26/10000</f>
        <v>9.106626</v>
      </c>
      <c r="K15" s="100" t="s">
        <v>308</v>
      </c>
      <c r="L15" s="113"/>
      <c r="M15" s="113"/>
      <c r="N15" s="135">
        <f>161502.06/10000</f>
        <v>16.150206</v>
      </c>
      <c r="O15" s="135">
        <f>525584.93/10000</f>
        <v>52.558493000000006</v>
      </c>
      <c r="P15" s="135">
        <f>80772.5/10000</f>
        <v>8.07725</v>
      </c>
      <c r="Q15" s="113"/>
      <c r="R15" s="113"/>
      <c r="S15" s="135">
        <f>2258/10000</f>
        <v>0.2258</v>
      </c>
      <c r="T15" s="135">
        <f>40057/10000</f>
        <v>4.0057</v>
      </c>
      <c r="U15" s="135">
        <f>46760.54/10000</f>
        <v>4.676054</v>
      </c>
      <c r="V15" s="135">
        <f>22115.97/10000</f>
        <v>2.2115970000000003</v>
      </c>
      <c r="W15" s="113"/>
      <c r="X15" s="135">
        <f>8620.01/10000</f>
        <v>0.862001</v>
      </c>
      <c r="Y15" s="135">
        <f>19850/10000</f>
        <v>1.985</v>
      </c>
      <c r="Z15" s="113"/>
      <c r="AA15" s="135">
        <f>51120.4/10000</f>
        <v>5.11204</v>
      </c>
      <c r="AB15" s="113"/>
      <c r="AC15" s="135">
        <f>3190/10000</f>
        <v>0.319</v>
      </c>
      <c r="AD15" s="135">
        <f>3800/10000</f>
        <v>0.38</v>
      </c>
      <c r="AE15" s="135">
        <f>7235.3/10000</f>
        <v>0.72353</v>
      </c>
      <c r="AF15" s="113"/>
      <c r="AG15" s="113"/>
      <c r="AH15" s="113"/>
      <c r="AI15" s="135">
        <f>2000/10000</f>
        <v>0.2</v>
      </c>
      <c r="AJ15" s="113"/>
      <c r="AK15" s="113"/>
      <c r="AL15" s="113"/>
      <c r="AM15" s="135">
        <f>111704.21/10000</f>
        <v>11.170421000000001</v>
      </c>
      <c r="AN15" s="135">
        <f>3133/10000</f>
        <v>0.3133</v>
      </c>
      <c r="AO15" s="113"/>
      <c r="AP15" s="135">
        <f>122968/10000</f>
        <v>12.2968</v>
      </c>
      <c r="AQ15" s="135">
        <f>704876.06/10000</f>
        <v>70.487606</v>
      </c>
      <c r="AR15" s="113"/>
      <c r="AS15" s="113"/>
      <c r="AT15" s="113"/>
      <c r="AU15" s="113"/>
      <c r="AV15" s="113"/>
      <c r="AW15" s="113"/>
      <c r="AX15" s="135">
        <f>251273.05/10000</f>
        <v>25.127305</v>
      </c>
      <c r="AY15" s="113"/>
      <c r="AZ15" s="135">
        <f>313431.45/10000</f>
        <v>31.343145</v>
      </c>
      <c r="BA15" s="113"/>
      <c r="BB15" s="135">
        <f>125319/10000</f>
        <v>12.5319</v>
      </c>
      <c r="BC15" s="113"/>
      <c r="BD15" s="113"/>
      <c r="BE15" s="135">
        <f>14852.56/10000</f>
        <v>1.485256</v>
      </c>
      <c r="BF15" s="100" t="s">
        <v>308</v>
      </c>
      <c r="BG15" s="100" t="s">
        <v>308</v>
      </c>
      <c r="BH15" s="100" t="s">
        <v>308</v>
      </c>
      <c r="BI15" s="100" t="s">
        <v>308</v>
      </c>
      <c r="BJ15" s="100" t="s">
        <v>308</v>
      </c>
      <c r="BK15" s="100" t="s">
        <v>308</v>
      </c>
      <c r="BL15" s="100" t="s">
        <v>308</v>
      </c>
      <c r="BM15" s="100" t="s">
        <v>308</v>
      </c>
      <c r="BN15" s="100" t="s">
        <v>308</v>
      </c>
      <c r="BO15" s="100" t="s">
        <v>308</v>
      </c>
      <c r="BP15" s="100" t="s">
        <v>308</v>
      </c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00" t="s">
        <v>308</v>
      </c>
      <c r="CF15" s="113"/>
      <c r="CG15" s="135"/>
      <c r="CH15" s="113"/>
      <c r="CI15" s="113"/>
      <c r="CJ15" s="113"/>
      <c r="CK15" s="135"/>
      <c r="CL15" s="113"/>
      <c r="CM15" s="113"/>
      <c r="CN15" s="113"/>
      <c r="CO15" s="113"/>
      <c r="CP15" s="113"/>
      <c r="CQ15" s="100" t="s">
        <v>308</v>
      </c>
      <c r="CR15" s="100" t="s">
        <v>308</v>
      </c>
    </row>
    <row r="16" spans="1:96" s="96" customFormat="1" ht="25.5" customHeight="1">
      <c r="A16" s="151">
        <v>21101</v>
      </c>
      <c r="B16" s="151">
        <v>21101</v>
      </c>
      <c r="C16" s="151">
        <v>21101</v>
      </c>
      <c r="D16" s="99" t="s">
        <v>352</v>
      </c>
      <c r="E16" s="135">
        <f>6309674.21/10000</f>
        <v>630.967421</v>
      </c>
      <c r="F16" s="135">
        <f>5079213.22/10000</f>
        <v>507.921322</v>
      </c>
      <c r="G16" s="135">
        <f>1527529.5/10000</f>
        <v>152.75295</v>
      </c>
      <c r="H16" s="135">
        <f>3012851.5/10000</f>
        <v>301.28515</v>
      </c>
      <c r="I16" s="135">
        <f>286263.9/10000</f>
        <v>28.62639</v>
      </c>
      <c r="J16" s="135">
        <f>91066.26/10000</f>
        <v>9.106626</v>
      </c>
      <c r="K16" s="100" t="s">
        <v>308</v>
      </c>
      <c r="L16" s="113"/>
      <c r="M16" s="113"/>
      <c r="N16" s="135">
        <f>161502.06/10000</f>
        <v>16.150206</v>
      </c>
      <c r="O16" s="135">
        <f>525584.93/10000</f>
        <v>52.558493000000006</v>
      </c>
      <c r="P16" s="135">
        <f>80772.5/10000</f>
        <v>8.07725</v>
      </c>
      <c r="Q16" s="113"/>
      <c r="R16" s="113"/>
      <c r="S16" s="135">
        <f>2258/10000</f>
        <v>0.2258</v>
      </c>
      <c r="T16" s="135">
        <f>40057/10000</f>
        <v>4.0057</v>
      </c>
      <c r="U16" s="135">
        <f>46760.54/10000</f>
        <v>4.676054</v>
      </c>
      <c r="V16" s="135">
        <f>22115.97/10000</f>
        <v>2.2115970000000003</v>
      </c>
      <c r="W16" s="113"/>
      <c r="X16" s="135">
        <f>8620.01/10000</f>
        <v>0.862001</v>
      </c>
      <c r="Y16" s="135">
        <f>19850/10000</f>
        <v>1.985</v>
      </c>
      <c r="Z16" s="113"/>
      <c r="AA16" s="135">
        <f>51120.4/10000</f>
        <v>5.11204</v>
      </c>
      <c r="AB16" s="113"/>
      <c r="AC16" s="135">
        <f>3190/10000</f>
        <v>0.319</v>
      </c>
      <c r="AD16" s="135">
        <f>3800/10000</f>
        <v>0.38</v>
      </c>
      <c r="AE16" s="135">
        <f>7235.3/10000</f>
        <v>0.72353</v>
      </c>
      <c r="AF16" s="113"/>
      <c r="AG16" s="113"/>
      <c r="AH16" s="113"/>
      <c r="AI16" s="135">
        <f>2000/10000</f>
        <v>0.2</v>
      </c>
      <c r="AJ16" s="113"/>
      <c r="AK16" s="113"/>
      <c r="AL16" s="113"/>
      <c r="AM16" s="135">
        <f>111704.21/10000</f>
        <v>11.170421000000001</v>
      </c>
      <c r="AN16" s="135">
        <f>3133/10000</f>
        <v>0.3133</v>
      </c>
      <c r="AO16" s="113"/>
      <c r="AP16" s="135">
        <f>122968/10000</f>
        <v>12.2968</v>
      </c>
      <c r="AQ16" s="135">
        <f>704876.06/10000</f>
        <v>70.487606</v>
      </c>
      <c r="AR16" s="113"/>
      <c r="AS16" s="113"/>
      <c r="AT16" s="113"/>
      <c r="AU16" s="113"/>
      <c r="AV16" s="113"/>
      <c r="AW16" s="113"/>
      <c r="AX16" s="135">
        <f>251273.05/10000</f>
        <v>25.127305</v>
      </c>
      <c r="AY16" s="113"/>
      <c r="AZ16" s="135">
        <f>313431.45/10000</f>
        <v>31.343145</v>
      </c>
      <c r="BA16" s="113"/>
      <c r="BB16" s="135">
        <f>125319/10000</f>
        <v>12.5319</v>
      </c>
      <c r="BC16" s="113"/>
      <c r="BD16" s="113"/>
      <c r="BE16" s="135">
        <f>14852.56/10000</f>
        <v>1.485256</v>
      </c>
      <c r="BF16" s="100" t="s">
        <v>308</v>
      </c>
      <c r="BG16" s="100" t="s">
        <v>308</v>
      </c>
      <c r="BH16" s="100" t="s">
        <v>308</v>
      </c>
      <c r="BI16" s="100" t="s">
        <v>308</v>
      </c>
      <c r="BJ16" s="100" t="s">
        <v>308</v>
      </c>
      <c r="BK16" s="100" t="s">
        <v>308</v>
      </c>
      <c r="BL16" s="100" t="s">
        <v>308</v>
      </c>
      <c r="BM16" s="100" t="s">
        <v>308</v>
      </c>
      <c r="BN16" s="100" t="s">
        <v>308</v>
      </c>
      <c r="BO16" s="100" t="s">
        <v>308</v>
      </c>
      <c r="BP16" s="100" t="s">
        <v>308</v>
      </c>
      <c r="BQ16" s="113"/>
      <c r="BR16" s="113"/>
      <c r="BS16" s="113"/>
      <c r="BT16" s="113"/>
      <c r="BU16" s="113"/>
      <c r="BV16" s="113"/>
      <c r="BW16" s="113"/>
      <c r="BX16" s="113"/>
      <c r="BY16" s="113"/>
      <c r="BZ16" s="113"/>
      <c r="CA16" s="113"/>
      <c r="CB16" s="113"/>
      <c r="CC16" s="113"/>
      <c r="CD16" s="113"/>
      <c r="CE16" s="100" t="s">
        <v>308</v>
      </c>
      <c r="CF16" s="113"/>
      <c r="CG16" s="135"/>
      <c r="CH16" s="113"/>
      <c r="CI16" s="113"/>
      <c r="CJ16" s="113"/>
      <c r="CK16" s="135"/>
      <c r="CL16" s="113"/>
      <c r="CM16" s="113"/>
      <c r="CN16" s="113"/>
      <c r="CO16" s="113"/>
      <c r="CP16" s="113"/>
      <c r="CQ16" s="100" t="s">
        <v>308</v>
      </c>
      <c r="CR16" s="100" t="s">
        <v>308</v>
      </c>
    </row>
    <row r="17" spans="1:96" s="96" customFormat="1" ht="25.5" customHeight="1">
      <c r="A17" s="151">
        <v>2110101</v>
      </c>
      <c r="B17" s="151">
        <v>2110101</v>
      </c>
      <c r="C17" s="151">
        <v>2110101</v>
      </c>
      <c r="D17" s="99" t="s">
        <v>362</v>
      </c>
      <c r="E17" s="135">
        <f>6309674.21/10000</f>
        <v>630.967421</v>
      </c>
      <c r="F17" s="135">
        <f>5079213.22/10000</f>
        <v>507.921322</v>
      </c>
      <c r="G17" s="135">
        <f>1527529.5/10000</f>
        <v>152.75295</v>
      </c>
      <c r="H17" s="135">
        <f>3012851.5/10000</f>
        <v>301.28515</v>
      </c>
      <c r="I17" s="135">
        <f>286263.9/10000</f>
        <v>28.62639</v>
      </c>
      <c r="J17" s="135">
        <f>91066.26/10000</f>
        <v>9.106626</v>
      </c>
      <c r="K17" s="100" t="s">
        <v>308</v>
      </c>
      <c r="L17" s="113"/>
      <c r="M17" s="113"/>
      <c r="N17" s="135">
        <f>161502.06/10000</f>
        <v>16.150206</v>
      </c>
      <c r="O17" s="135">
        <f>525584.93/10000</f>
        <v>52.558493000000006</v>
      </c>
      <c r="P17" s="135">
        <f>80772.5/10000</f>
        <v>8.07725</v>
      </c>
      <c r="Q17" s="113"/>
      <c r="R17" s="113"/>
      <c r="S17" s="135">
        <f>2258/10000</f>
        <v>0.2258</v>
      </c>
      <c r="T17" s="135">
        <f>40057/10000</f>
        <v>4.0057</v>
      </c>
      <c r="U17" s="135">
        <f>46760.54/10000</f>
        <v>4.676054</v>
      </c>
      <c r="V17" s="135">
        <f>22115.97/10000</f>
        <v>2.2115970000000003</v>
      </c>
      <c r="W17" s="113"/>
      <c r="X17" s="135">
        <f>8620.01/10000</f>
        <v>0.862001</v>
      </c>
      <c r="Y17" s="135">
        <f>19850/10000</f>
        <v>1.985</v>
      </c>
      <c r="Z17" s="113"/>
      <c r="AA17" s="135">
        <f>51120.4/10000</f>
        <v>5.11204</v>
      </c>
      <c r="AB17" s="113"/>
      <c r="AC17" s="135">
        <f>3190/10000</f>
        <v>0.319</v>
      </c>
      <c r="AD17" s="135">
        <f>3800/10000</f>
        <v>0.38</v>
      </c>
      <c r="AE17" s="135">
        <f>7235.3/10000</f>
        <v>0.72353</v>
      </c>
      <c r="AF17" s="113"/>
      <c r="AG17" s="113"/>
      <c r="AH17" s="113"/>
      <c r="AI17" s="135">
        <f>2000/10000</f>
        <v>0.2</v>
      </c>
      <c r="AJ17" s="113"/>
      <c r="AK17" s="113"/>
      <c r="AL17" s="113"/>
      <c r="AM17" s="135">
        <f>111704.21/10000</f>
        <v>11.170421000000001</v>
      </c>
      <c r="AN17" s="135">
        <f>3133/10000</f>
        <v>0.3133</v>
      </c>
      <c r="AO17" s="113"/>
      <c r="AP17" s="135">
        <f>122968/10000</f>
        <v>12.2968</v>
      </c>
      <c r="AQ17" s="135">
        <f>704876.06/10000</f>
        <v>70.487606</v>
      </c>
      <c r="AR17" s="113"/>
      <c r="AS17" s="113"/>
      <c r="AT17" s="113"/>
      <c r="AU17" s="113"/>
      <c r="AV17" s="113"/>
      <c r="AW17" s="113"/>
      <c r="AX17" s="135">
        <f>251273.05/10000</f>
        <v>25.127305</v>
      </c>
      <c r="AY17" s="113"/>
      <c r="AZ17" s="135">
        <f>313431.45/10000</f>
        <v>31.343145</v>
      </c>
      <c r="BA17" s="113"/>
      <c r="BB17" s="135">
        <f>125319/10000</f>
        <v>12.5319</v>
      </c>
      <c r="BC17" s="113"/>
      <c r="BD17" s="113"/>
      <c r="BE17" s="135">
        <f>14852.56/10000</f>
        <v>1.485256</v>
      </c>
      <c r="BF17" s="100" t="s">
        <v>308</v>
      </c>
      <c r="BG17" s="100" t="s">
        <v>308</v>
      </c>
      <c r="BH17" s="100" t="s">
        <v>308</v>
      </c>
      <c r="BI17" s="100" t="s">
        <v>308</v>
      </c>
      <c r="BJ17" s="100" t="s">
        <v>308</v>
      </c>
      <c r="BK17" s="100" t="s">
        <v>308</v>
      </c>
      <c r="BL17" s="100" t="s">
        <v>308</v>
      </c>
      <c r="BM17" s="100" t="s">
        <v>308</v>
      </c>
      <c r="BN17" s="100" t="s">
        <v>308</v>
      </c>
      <c r="BO17" s="100" t="s">
        <v>308</v>
      </c>
      <c r="BP17" s="100" t="s">
        <v>308</v>
      </c>
      <c r="BQ17" s="113"/>
      <c r="BR17" s="113"/>
      <c r="BS17" s="113"/>
      <c r="BT17" s="113"/>
      <c r="BU17" s="113"/>
      <c r="BV17" s="113"/>
      <c r="BW17" s="113"/>
      <c r="BX17" s="113"/>
      <c r="BY17" s="113"/>
      <c r="BZ17" s="113"/>
      <c r="CA17" s="113"/>
      <c r="CB17" s="113"/>
      <c r="CC17" s="113"/>
      <c r="CD17" s="113"/>
      <c r="CE17" s="100" t="s">
        <v>308</v>
      </c>
      <c r="CF17" s="113"/>
      <c r="CG17" s="135"/>
      <c r="CH17" s="113"/>
      <c r="CI17" s="113"/>
      <c r="CJ17" s="113"/>
      <c r="CK17" s="135"/>
      <c r="CL17" s="113"/>
      <c r="CM17" s="113"/>
      <c r="CN17" s="113"/>
      <c r="CO17" s="113"/>
      <c r="CP17" s="113"/>
      <c r="CQ17" s="100" t="s">
        <v>308</v>
      </c>
      <c r="CR17" s="100" t="s">
        <v>308</v>
      </c>
    </row>
    <row r="18" spans="1:96" s="96" customFormat="1" ht="25.5" customHeight="1">
      <c r="A18" s="151">
        <v>221</v>
      </c>
      <c r="B18" s="151">
        <v>221</v>
      </c>
      <c r="C18" s="151">
        <v>221</v>
      </c>
      <c r="D18" s="99" t="s">
        <v>356</v>
      </c>
      <c r="E18" s="135">
        <f>392022/10000</f>
        <v>39.2022</v>
      </c>
      <c r="F18" s="113"/>
      <c r="G18" s="113"/>
      <c r="H18" s="113"/>
      <c r="I18" s="113"/>
      <c r="J18" s="113"/>
      <c r="K18" s="100" t="s">
        <v>308</v>
      </c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35">
        <f>392022/10000</f>
        <v>39.2022</v>
      </c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  <c r="BB18" s="135">
        <f>392022/10000</f>
        <v>39.2022</v>
      </c>
      <c r="BC18" s="113"/>
      <c r="BD18" s="113"/>
      <c r="BE18" s="113"/>
      <c r="BF18" s="100" t="s">
        <v>308</v>
      </c>
      <c r="BG18" s="100" t="s">
        <v>308</v>
      </c>
      <c r="BH18" s="100" t="s">
        <v>308</v>
      </c>
      <c r="BI18" s="100" t="s">
        <v>308</v>
      </c>
      <c r="BJ18" s="100" t="s">
        <v>308</v>
      </c>
      <c r="BK18" s="100" t="s">
        <v>308</v>
      </c>
      <c r="BL18" s="100" t="s">
        <v>308</v>
      </c>
      <c r="BM18" s="100" t="s">
        <v>308</v>
      </c>
      <c r="BN18" s="100" t="s">
        <v>308</v>
      </c>
      <c r="BO18" s="100" t="s">
        <v>308</v>
      </c>
      <c r="BP18" s="100" t="s">
        <v>308</v>
      </c>
      <c r="BQ18" s="113"/>
      <c r="BR18" s="113"/>
      <c r="BS18" s="113"/>
      <c r="BT18" s="113"/>
      <c r="BU18" s="113"/>
      <c r="BV18" s="113"/>
      <c r="BW18" s="113"/>
      <c r="BX18" s="113"/>
      <c r="BY18" s="113"/>
      <c r="BZ18" s="113"/>
      <c r="CA18" s="113"/>
      <c r="CB18" s="113"/>
      <c r="CC18" s="113"/>
      <c r="CD18" s="113"/>
      <c r="CE18" s="100" t="s">
        <v>308</v>
      </c>
      <c r="CF18" s="113"/>
      <c r="CG18" s="135"/>
      <c r="CH18" s="113"/>
      <c r="CI18" s="113"/>
      <c r="CJ18" s="113"/>
      <c r="CK18" s="135"/>
      <c r="CL18" s="113"/>
      <c r="CM18" s="113"/>
      <c r="CN18" s="113"/>
      <c r="CO18" s="113"/>
      <c r="CP18" s="113"/>
      <c r="CQ18" s="100" t="s">
        <v>308</v>
      </c>
      <c r="CR18" s="100" t="s">
        <v>308</v>
      </c>
    </row>
    <row r="19" spans="1:96" s="96" customFormat="1" ht="25.5" customHeight="1">
      <c r="A19" s="151">
        <v>22102</v>
      </c>
      <c r="B19" s="151">
        <v>22102</v>
      </c>
      <c r="C19" s="151">
        <v>22102</v>
      </c>
      <c r="D19" s="99" t="s">
        <v>357</v>
      </c>
      <c r="E19" s="135">
        <f>392022/10000</f>
        <v>39.2022</v>
      </c>
      <c r="F19" s="135"/>
      <c r="G19" s="135"/>
      <c r="H19" s="135"/>
      <c r="I19" s="135"/>
      <c r="J19" s="135"/>
      <c r="K19" s="100" t="s">
        <v>308</v>
      </c>
      <c r="L19" s="113"/>
      <c r="M19" s="113"/>
      <c r="N19" s="135"/>
      <c r="O19" s="135"/>
      <c r="P19" s="135"/>
      <c r="Q19" s="135"/>
      <c r="R19" s="135"/>
      <c r="S19" s="135"/>
      <c r="T19" s="135"/>
      <c r="U19" s="135"/>
      <c r="V19" s="135"/>
      <c r="W19" s="113"/>
      <c r="X19" s="135"/>
      <c r="Y19" s="135"/>
      <c r="Z19" s="113"/>
      <c r="AA19" s="135"/>
      <c r="AB19" s="113"/>
      <c r="AC19" s="135"/>
      <c r="AD19" s="135"/>
      <c r="AE19" s="135"/>
      <c r="AF19" s="113"/>
      <c r="AG19" s="113"/>
      <c r="AH19" s="113"/>
      <c r="AI19" s="135"/>
      <c r="AJ19" s="135"/>
      <c r="AK19" s="113"/>
      <c r="AL19" s="113"/>
      <c r="AM19" s="135"/>
      <c r="AN19" s="135"/>
      <c r="AO19" s="113"/>
      <c r="AP19" s="135"/>
      <c r="AQ19" s="135">
        <f>392022/10000</f>
        <v>39.2022</v>
      </c>
      <c r="AR19" s="113"/>
      <c r="AS19" s="113"/>
      <c r="AT19" s="113"/>
      <c r="AU19" s="113"/>
      <c r="AV19" s="113"/>
      <c r="AW19" s="113"/>
      <c r="AX19" s="135"/>
      <c r="AY19" s="113"/>
      <c r="AZ19" s="135"/>
      <c r="BA19" s="113"/>
      <c r="BB19" s="135">
        <f>392022/10000</f>
        <v>39.2022</v>
      </c>
      <c r="BC19" s="113"/>
      <c r="BD19" s="113"/>
      <c r="BE19" s="135"/>
      <c r="BF19" s="100" t="s">
        <v>308</v>
      </c>
      <c r="BG19" s="100" t="s">
        <v>308</v>
      </c>
      <c r="BH19" s="100" t="s">
        <v>308</v>
      </c>
      <c r="BI19" s="100" t="s">
        <v>308</v>
      </c>
      <c r="BJ19" s="100" t="s">
        <v>308</v>
      </c>
      <c r="BK19" s="100" t="s">
        <v>308</v>
      </c>
      <c r="BL19" s="100" t="s">
        <v>308</v>
      </c>
      <c r="BM19" s="100" t="s">
        <v>308</v>
      </c>
      <c r="BN19" s="100" t="s">
        <v>308</v>
      </c>
      <c r="BO19" s="100" t="s">
        <v>308</v>
      </c>
      <c r="BP19" s="100" t="s">
        <v>308</v>
      </c>
      <c r="BQ19" s="135"/>
      <c r="BR19" s="113"/>
      <c r="BS19" s="135"/>
      <c r="BT19" s="113"/>
      <c r="BU19" s="113"/>
      <c r="BV19" s="113"/>
      <c r="BW19" s="113"/>
      <c r="BX19" s="113"/>
      <c r="BY19" s="113"/>
      <c r="BZ19" s="113"/>
      <c r="CA19" s="113"/>
      <c r="CB19" s="113"/>
      <c r="CC19" s="113"/>
      <c r="CD19" s="113"/>
      <c r="CE19" s="100" t="s">
        <v>308</v>
      </c>
      <c r="CF19" s="113"/>
      <c r="CG19" s="135"/>
      <c r="CH19" s="113"/>
      <c r="CI19" s="113"/>
      <c r="CJ19" s="113"/>
      <c r="CK19" s="135"/>
      <c r="CL19" s="113"/>
      <c r="CM19" s="113"/>
      <c r="CN19" s="113"/>
      <c r="CO19" s="113"/>
      <c r="CP19" s="113"/>
      <c r="CQ19" s="100" t="s">
        <v>308</v>
      </c>
      <c r="CR19" s="100" t="s">
        <v>308</v>
      </c>
    </row>
    <row r="20" spans="1:96" s="96" customFormat="1" ht="25.5" customHeight="1">
      <c r="A20" s="151">
        <v>2210201</v>
      </c>
      <c r="B20" s="151">
        <v>2210201</v>
      </c>
      <c r="C20" s="151">
        <v>2210201</v>
      </c>
      <c r="D20" s="99" t="s">
        <v>370</v>
      </c>
      <c r="E20" s="135">
        <f>392022/10000</f>
        <v>39.2022</v>
      </c>
      <c r="F20" s="135"/>
      <c r="G20" s="135"/>
      <c r="H20" s="135"/>
      <c r="I20" s="135"/>
      <c r="J20" s="135"/>
      <c r="K20" s="100" t="s">
        <v>308</v>
      </c>
      <c r="L20" s="113"/>
      <c r="M20" s="113"/>
      <c r="N20" s="135"/>
      <c r="O20" s="135"/>
      <c r="P20" s="135"/>
      <c r="Q20" s="113"/>
      <c r="R20" s="113"/>
      <c r="S20" s="135"/>
      <c r="T20" s="135"/>
      <c r="U20" s="135"/>
      <c r="V20" s="135"/>
      <c r="W20" s="113"/>
      <c r="X20" s="135"/>
      <c r="Y20" s="135"/>
      <c r="Z20" s="113"/>
      <c r="AA20" s="135"/>
      <c r="AB20" s="113"/>
      <c r="AC20" s="135"/>
      <c r="AD20" s="135"/>
      <c r="AE20" s="135"/>
      <c r="AF20" s="113"/>
      <c r="AG20" s="113"/>
      <c r="AH20" s="113"/>
      <c r="AI20" s="135"/>
      <c r="AJ20" s="113"/>
      <c r="AK20" s="113"/>
      <c r="AL20" s="113"/>
      <c r="AM20" s="135"/>
      <c r="AN20" s="135"/>
      <c r="AO20" s="113"/>
      <c r="AP20" s="135"/>
      <c r="AQ20" s="135">
        <f>392022/10000</f>
        <v>39.2022</v>
      </c>
      <c r="AR20" s="113"/>
      <c r="AS20" s="113"/>
      <c r="AT20" s="113"/>
      <c r="AU20" s="113"/>
      <c r="AV20" s="113"/>
      <c r="AW20" s="113"/>
      <c r="AX20" s="135"/>
      <c r="AY20" s="113"/>
      <c r="AZ20" s="135"/>
      <c r="BA20" s="113"/>
      <c r="BB20" s="135">
        <f>392022/10000</f>
        <v>39.2022</v>
      </c>
      <c r="BC20" s="113"/>
      <c r="BD20" s="113"/>
      <c r="BE20" s="135"/>
      <c r="BF20" s="100" t="s">
        <v>308</v>
      </c>
      <c r="BG20" s="100" t="s">
        <v>308</v>
      </c>
      <c r="BH20" s="100" t="s">
        <v>308</v>
      </c>
      <c r="BI20" s="100" t="s">
        <v>308</v>
      </c>
      <c r="BJ20" s="100" t="s">
        <v>308</v>
      </c>
      <c r="BK20" s="100" t="s">
        <v>308</v>
      </c>
      <c r="BL20" s="100" t="s">
        <v>308</v>
      </c>
      <c r="BM20" s="100" t="s">
        <v>308</v>
      </c>
      <c r="BN20" s="100" t="s">
        <v>308</v>
      </c>
      <c r="BO20" s="100" t="s">
        <v>308</v>
      </c>
      <c r="BP20" s="100" t="s">
        <v>308</v>
      </c>
      <c r="BQ20" s="113"/>
      <c r="BR20" s="113"/>
      <c r="BS20" s="113"/>
      <c r="BT20" s="113"/>
      <c r="BU20" s="113"/>
      <c r="BV20" s="113"/>
      <c r="BW20" s="113"/>
      <c r="BX20" s="113"/>
      <c r="BY20" s="113"/>
      <c r="BZ20" s="113"/>
      <c r="CA20" s="113"/>
      <c r="CB20" s="113"/>
      <c r="CC20" s="113"/>
      <c r="CD20" s="113"/>
      <c r="CE20" s="100" t="s">
        <v>308</v>
      </c>
      <c r="CF20" s="113"/>
      <c r="CG20" s="113"/>
      <c r="CH20" s="113"/>
      <c r="CI20" s="113"/>
      <c r="CJ20" s="113"/>
      <c r="CK20" s="113"/>
      <c r="CL20" s="113"/>
      <c r="CM20" s="113"/>
      <c r="CN20" s="113"/>
      <c r="CO20" s="113"/>
      <c r="CP20" s="113"/>
      <c r="CQ20" s="100" t="s">
        <v>308</v>
      </c>
      <c r="CR20" s="100" t="s">
        <v>308</v>
      </c>
    </row>
    <row r="21" spans="1:96" s="96" customFormat="1" ht="25.5" customHeight="1">
      <c r="A21" s="151">
        <v>229</v>
      </c>
      <c r="B21" s="151">
        <v>229</v>
      </c>
      <c r="C21" s="151">
        <v>229</v>
      </c>
      <c r="D21" s="99" t="s">
        <v>230</v>
      </c>
      <c r="E21" s="135">
        <f>64557.97/10000</f>
        <v>6.4557970000000005</v>
      </c>
      <c r="F21" s="135"/>
      <c r="G21" s="135"/>
      <c r="H21" s="135"/>
      <c r="I21" s="135"/>
      <c r="J21" s="135"/>
      <c r="K21" s="100" t="s">
        <v>308</v>
      </c>
      <c r="L21" s="113"/>
      <c r="M21" s="113"/>
      <c r="N21" s="135"/>
      <c r="O21" s="135"/>
      <c r="P21" s="135"/>
      <c r="Q21" s="113"/>
      <c r="R21" s="113"/>
      <c r="S21" s="135"/>
      <c r="T21" s="135"/>
      <c r="U21" s="135"/>
      <c r="V21" s="135"/>
      <c r="W21" s="113"/>
      <c r="X21" s="135"/>
      <c r="Y21" s="135"/>
      <c r="Z21" s="113"/>
      <c r="AA21" s="135"/>
      <c r="AB21" s="113"/>
      <c r="AC21" s="135"/>
      <c r="AD21" s="135"/>
      <c r="AE21" s="135"/>
      <c r="AF21" s="113"/>
      <c r="AG21" s="113"/>
      <c r="AH21" s="113"/>
      <c r="AI21" s="135"/>
      <c r="AJ21" s="113"/>
      <c r="AK21" s="113"/>
      <c r="AL21" s="113"/>
      <c r="AM21" s="135"/>
      <c r="AN21" s="135"/>
      <c r="AO21" s="113"/>
      <c r="AP21" s="135"/>
      <c r="AQ21" s="135">
        <f>64557.97/10000</f>
        <v>6.4557970000000005</v>
      </c>
      <c r="AR21" s="113"/>
      <c r="AS21" s="113"/>
      <c r="AT21" s="113"/>
      <c r="AU21" s="113"/>
      <c r="AV21" s="113"/>
      <c r="AW21" s="113"/>
      <c r="AX21" s="135">
        <f>57804.53/10000</f>
        <v>5.780453</v>
      </c>
      <c r="AY21" s="113"/>
      <c r="AZ21" s="135"/>
      <c r="BA21" s="113"/>
      <c r="BB21" s="135"/>
      <c r="BC21" s="113"/>
      <c r="BD21" s="113"/>
      <c r="BE21" s="135">
        <f>6753.44/10000</f>
        <v>0.6753439999999999</v>
      </c>
      <c r="BF21" s="100" t="s">
        <v>308</v>
      </c>
      <c r="BG21" s="100" t="s">
        <v>308</v>
      </c>
      <c r="BH21" s="100" t="s">
        <v>308</v>
      </c>
      <c r="BI21" s="100" t="s">
        <v>308</v>
      </c>
      <c r="BJ21" s="100" t="s">
        <v>308</v>
      </c>
      <c r="BK21" s="100" t="s">
        <v>308</v>
      </c>
      <c r="BL21" s="100" t="s">
        <v>308</v>
      </c>
      <c r="BM21" s="100" t="s">
        <v>308</v>
      </c>
      <c r="BN21" s="100" t="s">
        <v>308</v>
      </c>
      <c r="BO21" s="100" t="s">
        <v>308</v>
      </c>
      <c r="BP21" s="100" t="s">
        <v>308</v>
      </c>
      <c r="BQ21" s="113"/>
      <c r="BR21" s="113"/>
      <c r="BS21" s="113"/>
      <c r="BT21" s="113"/>
      <c r="BU21" s="113"/>
      <c r="BV21" s="113"/>
      <c r="BW21" s="113"/>
      <c r="BX21" s="113"/>
      <c r="BY21" s="113"/>
      <c r="BZ21" s="113"/>
      <c r="CA21" s="113"/>
      <c r="CB21" s="113"/>
      <c r="CC21" s="113"/>
      <c r="CD21" s="113"/>
      <c r="CE21" s="100" t="s">
        <v>308</v>
      </c>
      <c r="CF21" s="113"/>
      <c r="CG21" s="113"/>
      <c r="CH21" s="113"/>
      <c r="CI21" s="113"/>
      <c r="CJ21" s="113"/>
      <c r="CK21" s="113"/>
      <c r="CL21" s="113"/>
      <c r="CM21" s="113"/>
      <c r="CN21" s="113"/>
      <c r="CO21" s="113"/>
      <c r="CP21" s="113"/>
      <c r="CQ21" s="100" t="s">
        <v>308</v>
      </c>
      <c r="CR21" s="100" t="s">
        <v>308</v>
      </c>
    </row>
    <row r="22" spans="1:96" s="96" customFormat="1" ht="25.5" customHeight="1">
      <c r="A22" s="151">
        <v>22999</v>
      </c>
      <c r="B22" s="151">
        <v>22999</v>
      </c>
      <c r="C22" s="151">
        <v>22999</v>
      </c>
      <c r="D22" s="99" t="s">
        <v>230</v>
      </c>
      <c r="E22" s="135">
        <f>64557.97/10000</f>
        <v>6.4557970000000005</v>
      </c>
      <c r="F22" s="113"/>
      <c r="G22" s="113"/>
      <c r="H22" s="113"/>
      <c r="I22" s="113"/>
      <c r="J22" s="113"/>
      <c r="K22" s="100" t="s">
        <v>308</v>
      </c>
      <c r="L22" s="113"/>
      <c r="M22" s="113"/>
      <c r="N22" s="113"/>
      <c r="O22" s="135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35"/>
      <c r="AQ22" s="135">
        <f>64557.97/10000</f>
        <v>6.4557970000000005</v>
      </c>
      <c r="AR22" s="113"/>
      <c r="AS22" s="113"/>
      <c r="AT22" s="113"/>
      <c r="AU22" s="113"/>
      <c r="AV22" s="113"/>
      <c r="AW22" s="113"/>
      <c r="AX22" s="135">
        <f>57804.53/10000</f>
        <v>5.780453</v>
      </c>
      <c r="AY22" s="113"/>
      <c r="AZ22" s="113"/>
      <c r="BA22" s="113"/>
      <c r="BB22" s="113"/>
      <c r="BC22" s="113"/>
      <c r="BD22" s="113"/>
      <c r="BE22" s="135">
        <f>6753.44/10000</f>
        <v>0.6753439999999999</v>
      </c>
      <c r="BF22" s="100" t="s">
        <v>308</v>
      </c>
      <c r="BG22" s="100" t="s">
        <v>308</v>
      </c>
      <c r="BH22" s="100" t="s">
        <v>308</v>
      </c>
      <c r="BI22" s="100" t="s">
        <v>308</v>
      </c>
      <c r="BJ22" s="100" t="s">
        <v>308</v>
      </c>
      <c r="BK22" s="100" t="s">
        <v>308</v>
      </c>
      <c r="BL22" s="100" t="s">
        <v>308</v>
      </c>
      <c r="BM22" s="100" t="s">
        <v>308</v>
      </c>
      <c r="BN22" s="100" t="s">
        <v>308</v>
      </c>
      <c r="BO22" s="100" t="s">
        <v>308</v>
      </c>
      <c r="BP22" s="100" t="s">
        <v>308</v>
      </c>
      <c r="BQ22" s="113"/>
      <c r="BR22" s="113"/>
      <c r="BS22" s="113"/>
      <c r="BT22" s="113"/>
      <c r="BU22" s="113"/>
      <c r="BV22" s="113"/>
      <c r="BW22" s="113"/>
      <c r="BX22" s="113"/>
      <c r="BY22" s="113"/>
      <c r="BZ22" s="113"/>
      <c r="CA22" s="113"/>
      <c r="CB22" s="113"/>
      <c r="CC22" s="113"/>
      <c r="CD22" s="113"/>
      <c r="CE22" s="100" t="s">
        <v>308</v>
      </c>
      <c r="CF22" s="113"/>
      <c r="CG22" s="113"/>
      <c r="CH22" s="113"/>
      <c r="CI22" s="113"/>
      <c r="CJ22" s="113"/>
      <c r="CK22" s="113"/>
      <c r="CL22" s="113"/>
      <c r="CM22" s="113"/>
      <c r="CN22" s="113"/>
      <c r="CO22" s="113"/>
      <c r="CP22" s="113"/>
      <c r="CQ22" s="100" t="s">
        <v>308</v>
      </c>
      <c r="CR22" s="100" t="s">
        <v>308</v>
      </c>
    </row>
    <row r="23" spans="1:96" s="96" customFormat="1" ht="25.5" customHeight="1">
      <c r="A23" s="151">
        <v>2299901</v>
      </c>
      <c r="B23" s="151">
        <v>2299901</v>
      </c>
      <c r="C23" s="151">
        <v>2299901</v>
      </c>
      <c r="D23" s="99" t="s">
        <v>371</v>
      </c>
      <c r="E23" s="135">
        <f>64557.97/10000</f>
        <v>6.4557970000000005</v>
      </c>
      <c r="F23" s="113"/>
      <c r="G23" s="113"/>
      <c r="H23" s="113"/>
      <c r="I23" s="113"/>
      <c r="J23" s="113"/>
      <c r="K23" s="100" t="s">
        <v>308</v>
      </c>
      <c r="L23" s="113"/>
      <c r="M23" s="113"/>
      <c r="N23" s="113"/>
      <c r="O23" s="135"/>
      <c r="P23" s="135"/>
      <c r="Q23" s="135"/>
      <c r="R23" s="135"/>
      <c r="S23" s="113"/>
      <c r="T23" s="113"/>
      <c r="U23" s="135"/>
      <c r="V23" s="135"/>
      <c r="W23" s="113"/>
      <c r="X23" s="113"/>
      <c r="Y23" s="135"/>
      <c r="Z23" s="113"/>
      <c r="AA23" s="135"/>
      <c r="AB23" s="113"/>
      <c r="AC23" s="135"/>
      <c r="AD23" s="113"/>
      <c r="AE23" s="135"/>
      <c r="AF23" s="113"/>
      <c r="AG23" s="113"/>
      <c r="AH23" s="113"/>
      <c r="AI23" s="135"/>
      <c r="AJ23" s="135"/>
      <c r="AK23" s="113"/>
      <c r="AL23" s="113"/>
      <c r="AM23" s="135"/>
      <c r="AN23" s="113"/>
      <c r="AO23" s="113"/>
      <c r="AP23" s="135"/>
      <c r="AQ23" s="135">
        <f>64557.97/10000</f>
        <v>6.4557970000000005</v>
      </c>
      <c r="AR23" s="113"/>
      <c r="AS23" s="113"/>
      <c r="AT23" s="113"/>
      <c r="AU23" s="113"/>
      <c r="AV23" s="113"/>
      <c r="AW23" s="113"/>
      <c r="AX23" s="135">
        <f>57804.53/10000</f>
        <v>5.780453</v>
      </c>
      <c r="AY23" s="113"/>
      <c r="AZ23" s="113"/>
      <c r="BA23" s="113"/>
      <c r="BB23" s="113"/>
      <c r="BC23" s="113"/>
      <c r="BD23" s="113"/>
      <c r="BE23" s="135">
        <f>6753.44/10000</f>
        <v>0.6753439999999999</v>
      </c>
      <c r="BF23" s="100" t="s">
        <v>308</v>
      </c>
      <c r="BG23" s="100" t="s">
        <v>308</v>
      </c>
      <c r="BH23" s="100" t="s">
        <v>308</v>
      </c>
      <c r="BI23" s="100" t="s">
        <v>308</v>
      </c>
      <c r="BJ23" s="100" t="s">
        <v>308</v>
      </c>
      <c r="BK23" s="100" t="s">
        <v>308</v>
      </c>
      <c r="BL23" s="100" t="s">
        <v>308</v>
      </c>
      <c r="BM23" s="100" t="s">
        <v>308</v>
      </c>
      <c r="BN23" s="100" t="s">
        <v>308</v>
      </c>
      <c r="BO23" s="100" t="s">
        <v>308</v>
      </c>
      <c r="BP23" s="100" t="s">
        <v>308</v>
      </c>
      <c r="BQ23" s="135"/>
      <c r="BR23" s="113"/>
      <c r="BS23" s="135"/>
      <c r="BT23" s="113"/>
      <c r="BU23" s="113"/>
      <c r="BV23" s="113"/>
      <c r="BW23" s="113"/>
      <c r="BX23" s="113"/>
      <c r="BY23" s="113"/>
      <c r="BZ23" s="113"/>
      <c r="CA23" s="113"/>
      <c r="CB23" s="113"/>
      <c r="CC23" s="113"/>
      <c r="CD23" s="113"/>
      <c r="CE23" s="100" t="s">
        <v>308</v>
      </c>
      <c r="CF23" s="113"/>
      <c r="CG23" s="135"/>
      <c r="CH23" s="113"/>
      <c r="CI23" s="113"/>
      <c r="CJ23" s="113"/>
      <c r="CK23" s="135"/>
      <c r="CL23" s="113"/>
      <c r="CM23" s="113"/>
      <c r="CN23" s="113"/>
      <c r="CO23" s="113"/>
      <c r="CP23" s="113"/>
      <c r="CQ23" s="100" t="s">
        <v>308</v>
      </c>
      <c r="CR23" s="100" t="s">
        <v>308</v>
      </c>
    </row>
    <row r="24" spans="4:96" s="96" customFormat="1" ht="11.25">
      <c r="D24" s="97"/>
      <c r="K24" s="137"/>
      <c r="BF24" s="137"/>
      <c r="BG24" s="137"/>
      <c r="BH24" s="137"/>
      <c r="BI24" s="137"/>
      <c r="BJ24" s="137"/>
      <c r="BK24" s="137"/>
      <c r="BL24" s="137"/>
      <c r="BM24" s="137"/>
      <c r="BN24" s="137"/>
      <c r="BO24" s="137"/>
      <c r="BP24" s="137"/>
      <c r="CE24" s="137"/>
      <c r="CQ24" s="137"/>
      <c r="CR24" s="137"/>
    </row>
    <row r="25" spans="4:96" s="96" customFormat="1" ht="11.25">
      <c r="D25" s="97"/>
      <c r="K25" s="137"/>
      <c r="BF25" s="137"/>
      <c r="BG25" s="137"/>
      <c r="BH25" s="137"/>
      <c r="BI25" s="137"/>
      <c r="BJ25" s="137"/>
      <c r="BK25" s="137"/>
      <c r="BL25" s="137"/>
      <c r="BM25" s="137"/>
      <c r="BN25" s="137"/>
      <c r="BO25" s="137"/>
      <c r="BP25" s="137"/>
      <c r="CE25" s="137"/>
      <c r="CQ25" s="137"/>
      <c r="CR25" s="137"/>
    </row>
    <row r="26" spans="4:96" s="96" customFormat="1" ht="11.25">
      <c r="D26" s="97"/>
      <c r="K26" s="137"/>
      <c r="BF26" s="137"/>
      <c r="BG26" s="137"/>
      <c r="BH26" s="137"/>
      <c r="BI26" s="137"/>
      <c r="BJ26" s="137"/>
      <c r="BK26" s="137"/>
      <c r="BL26" s="137"/>
      <c r="BM26" s="137"/>
      <c r="BN26" s="137"/>
      <c r="BO26" s="137"/>
      <c r="BP26" s="137"/>
      <c r="CE26" s="137"/>
      <c r="CQ26" s="137"/>
      <c r="CR26" s="137"/>
    </row>
  </sheetData>
  <mergeCells count="122">
    <mergeCell ref="A21:C21"/>
    <mergeCell ref="A22:C22"/>
    <mergeCell ref="A23:C23"/>
    <mergeCell ref="A17:C17"/>
    <mergeCell ref="A18:C18"/>
    <mergeCell ref="A19:C19"/>
    <mergeCell ref="A20:C20"/>
    <mergeCell ref="A13:C13"/>
    <mergeCell ref="A14:C14"/>
    <mergeCell ref="A15:C15"/>
    <mergeCell ref="A16:C16"/>
    <mergeCell ref="A9:C9"/>
    <mergeCell ref="A10:C10"/>
    <mergeCell ref="A11:C11"/>
    <mergeCell ref="A12:C12"/>
    <mergeCell ref="A1:CR1"/>
    <mergeCell ref="A3:D3"/>
    <mergeCell ref="F3:N3"/>
    <mergeCell ref="O3:AP3"/>
    <mergeCell ref="AQ3:BE3"/>
    <mergeCell ref="BF3:BP3"/>
    <mergeCell ref="BQ3:CF3"/>
    <mergeCell ref="CG3:CK3"/>
    <mergeCell ref="CL3:CN3"/>
    <mergeCell ref="CO3:CR3"/>
    <mergeCell ref="A7:A8"/>
    <mergeCell ref="B7:B8"/>
    <mergeCell ref="C7:C8"/>
    <mergeCell ref="D4:D6"/>
    <mergeCell ref="A4:C6"/>
    <mergeCell ref="E3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AA4:AA6"/>
    <mergeCell ref="AB4:AB6"/>
    <mergeCell ref="AC4:AC6"/>
    <mergeCell ref="AD4:AD6"/>
    <mergeCell ref="AE4:AE6"/>
    <mergeCell ref="AF4:AF6"/>
    <mergeCell ref="AG4:AG6"/>
    <mergeCell ref="AH4:AH6"/>
    <mergeCell ref="AI4:AI6"/>
    <mergeCell ref="AJ4:AJ6"/>
    <mergeCell ref="AK4:AK6"/>
    <mergeCell ref="AL4:AL6"/>
    <mergeCell ref="AM4:AM6"/>
    <mergeCell ref="AN4:AN6"/>
    <mergeCell ref="AO4:AO6"/>
    <mergeCell ref="AP4:AP6"/>
    <mergeCell ref="AQ4:AQ6"/>
    <mergeCell ref="AR4:AR6"/>
    <mergeCell ref="AS4:AS6"/>
    <mergeCell ref="AT4:AT6"/>
    <mergeCell ref="AU4:AU6"/>
    <mergeCell ref="AV4:AV6"/>
    <mergeCell ref="AW4:AW6"/>
    <mergeCell ref="AX4:AX6"/>
    <mergeCell ref="AY4:AY6"/>
    <mergeCell ref="AZ4:AZ6"/>
    <mergeCell ref="BA4:BA6"/>
    <mergeCell ref="BB4:BB6"/>
    <mergeCell ref="BC4:BC6"/>
    <mergeCell ref="BD4:BD6"/>
    <mergeCell ref="BE4:BE6"/>
    <mergeCell ref="BF4:BF6"/>
    <mergeCell ref="BG4:BG6"/>
    <mergeCell ref="BH4:BH6"/>
    <mergeCell ref="BI4:BI6"/>
    <mergeCell ref="BJ4:BJ6"/>
    <mergeCell ref="BK4:BK6"/>
    <mergeCell ref="BL4:BL6"/>
    <mergeCell ref="BM4:BM6"/>
    <mergeCell ref="BN4:BN6"/>
    <mergeCell ref="BO4:BO6"/>
    <mergeCell ref="BP4:BP6"/>
    <mergeCell ref="BQ4:BQ6"/>
    <mergeCell ref="BR4:BR6"/>
    <mergeCell ref="BS4:BS6"/>
    <mergeCell ref="BT4:BT6"/>
    <mergeCell ref="BU4:BU6"/>
    <mergeCell ref="BV4:BV6"/>
    <mergeCell ref="BW4:BW6"/>
    <mergeCell ref="BX4:BX6"/>
    <mergeCell ref="BY4:BY6"/>
    <mergeCell ref="BZ4:BZ6"/>
    <mergeCell ref="CA4:CA6"/>
    <mergeCell ref="CB4:CB6"/>
    <mergeCell ref="CC4:CC6"/>
    <mergeCell ref="CD4:CD6"/>
    <mergeCell ref="CE4:CE6"/>
    <mergeCell ref="CF4:CF6"/>
    <mergeCell ref="CG4:CG6"/>
    <mergeCell ref="CH4:CH6"/>
    <mergeCell ref="CI4:CI6"/>
    <mergeCell ref="CJ4:CJ6"/>
    <mergeCell ref="CK4:CK6"/>
    <mergeCell ref="CL4:CL6"/>
    <mergeCell ref="CM4:CM6"/>
    <mergeCell ref="CN4:CN6"/>
    <mergeCell ref="CO4:CO6"/>
    <mergeCell ref="CP4:CP6"/>
    <mergeCell ref="CQ4:CQ6"/>
    <mergeCell ref="CR4:CR6"/>
  </mergeCells>
  <printOptions/>
  <pageMargins left="0.16" right="0.16" top="1" bottom="1" header="0.5111111111111111" footer="0.5111111111111111"/>
  <pageSetup horizontalDpi="600" verticalDpi="600" orientation="landscape" paperSize="9" scale="4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2"/>
  <sheetViews>
    <sheetView zoomScaleSheetLayoutView="100" workbookViewId="0" topLeftCell="A1">
      <selection activeCell="F9" activeCellId="3" sqref="C5 C14 F8 F9"/>
    </sheetView>
  </sheetViews>
  <sheetFormatPr defaultColWidth="9.00390625" defaultRowHeight="14.25"/>
  <cols>
    <col min="1" max="1" width="34.00390625" style="0" bestFit="1" customWidth="1"/>
    <col min="3" max="3" width="11.625" style="0" customWidth="1"/>
    <col min="4" max="4" width="42.00390625" style="0" customWidth="1"/>
    <col min="6" max="6" width="13.375" style="0" customWidth="1"/>
  </cols>
  <sheetData>
    <row r="1" spans="1:6" ht="27">
      <c r="A1" s="207" t="s">
        <v>303</v>
      </c>
      <c r="B1" s="207"/>
      <c r="C1" s="207"/>
      <c r="D1" s="207"/>
      <c r="E1" s="207"/>
      <c r="F1" s="207"/>
    </row>
    <row r="2" spans="1:6" ht="18" customHeight="1">
      <c r="A2" s="49" t="s">
        <v>343</v>
      </c>
      <c r="B2" s="46"/>
      <c r="C2" s="46"/>
      <c r="D2" s="47"/>
      <c r="E2" s="46"/>
      <c r="F2" s="48" t="s">
        <v>1</v>
      </c>
    </row>
    <row r="3" spans="1:6" ht="18" customHeight="1">
      <c r="A3" s="50" t="s">
        <v>304</v>
      </c>
      <c r="B3" s="208" t="s">
        <v>5</v>
      </c>
      <c r="C3" s="51" t="s">
        <v>305</v>
      </c>
      <c r="D3" s="51" t="s">
        <v>304</v>
      </c>
      <c r="E3" s="208" t="s">
        <v>5</v>
      </c>
      <c r="F3" s="52" t="s">
        <v>305</v>
      </c>
    </row>
    <row r="4" spans="1:6" ht="18" customHeight="1">
      <c r="A4" s="53" t="s">
        <v>306</v>
      </c>
      <c r="B4" s="209"/>
      <c r="C4" s="54" t="s">
        <v>11</v>
      </c>
      <c r="D4" s="54" t="s">
        <v>306</v>
      </c>
      <c r="E4" s="209"/>
      <c r="F4" s="55" t="s">
        <v>17</v>
      </c>
    </row>
    <row r="5" spans="1:6" ht="18" customHeight="1">
      <c r="A5" s="56" t="s">
        <v>307</v>
      </c>
      <c r="B5" s="54" t="s">
        <v>11</v>
      </c>
      <c r="C5" s="138" t="s">
        <v>308</v>
      </c>
      <c r="D5" s="57" t="s">
        <v>309</v>
      </c>
      <c r="E5" s="54" t="s">
        <v>106</v>
      </c>
      <c r="F5" s="142">
        <f>599534.93/10000</f>
        <v>59.953493</v>
      </c>
    </row>
    <row r="6" spans="1:6" ht="18" customHeight="1">
      <c r="A6" s="56" t="s">
        <v>310</v>
      </c>
      <c r="B6" s="54" t="s">
        <v>17</v>
      </c>
      <c r="C6" s="139">
        <f>773750.48/10000</f>
        <v>77.37504799999999</v>
      </c>
      <c r="D6" s="57" t="s">
        <v>311</v>
      </c>
      <c r="E6" s="54" t="s">
        <v>111</v>
      </c>
      <c r="F6" s="142">
        <f>599534.93/10000</f>
        <v>59.953493</v>
      </c>
    </row>
    <row r="7" spans="1:6" ht="18" customHeight="1">
      <c r="A7" s="56" t="s">
        <v>312</v>
      </c>
      <c r="B7" s="54" t="s">
        <v>23</v>
      </c>
      <c r="C7" s="139"/>
      <c r="D7" s="57" t="s">
        <v>313</v>
      </c>
      <c r="E7" s="54" t="s">
        <v>116</v>
      </c>
      <c r="F7" s="142"/>
    </row>
    <row r="8" spans="1:6" ht="18" customHeight="1">
      <c r="A8" s="56" t="s">
        <v>314</v>
      </c>
      <c r="B8" s="54" t="s">
        <v>29</v>
      </c>
      <c r="C8" s="139">
        <f>488450.48/10000</f>
        <v>48.845048</v>
      </c>
      <c r="D8" s="57"/>
      <c r="E8" s="54" t="s">
        <v>121</v>
      </c>
      <c r="F8" s="143" t="s">
        <v>332</v>
      </c>
    </row>
    <row r="9" spans="1:6" ht="18" customHeight="1">
      <c r="A9" s="56" t="s">
        <v>315</v>
      </c>
      <c r="B9" s="54" t="s">
        <v>35</v>
      </c>
      <c r="C9" s="139"/>
      <c r="D9" s="57" t="s">
        <v>316</v>
      </c>
      <c r="E9" s="54" t="s">
        <v>126</v>
      </c>
      <c r="F9" s="143" t="s">
        <v>308</v>
      </c>
    </row>
    <row r="10" spans="1:6" ht="18" customHeight="1">
      <c r="A10" s="56" t="s">
        <v>317</v>
      </c>
      <c r="B10" s="54" t="s">
        <v>41</v>
      </c>
      <c r="C10" s="139">
        <f>488450.48/10000</f>
        <v>48.845048</v>
      </c>
      <c r="D10" s="57" t="s">
        <v>318</v>
      </c>
      <c r="E10" s="54" t="s">
        <v>130</v>
      </c>
      <c r="F10" s="144">
        <v>14</v>
      </c>
    </row>
    <row r="11" spans="1:6" ht="18" customHeight="1">
      <c r="A11" s="56" t="s">
        <v>319</v>
      </c>
      <c r="B11" s="54" t="s">
        <v>47</v>
      </c>
      <c r="C11" s="139">
        <f>285300/10000</f>
        <v>28.53</v>
      </c>
      <c r="D11" s="57" t="s">
        <v>320</v>
      </c>
      <c r="E11" s="54" t="s">
        <v>134</v>
      </c>
      <c r="F11" s="145"/>
    </row>
    <row r="12" spans="1:6" ht="18" customHeight="1">
      <c r="A12" s="56" t="s">
        <v>321</v>
      </c>
      <c r="B12" s="54" t="s">
        <v>52</v>
      </c>
      <c r="C12" s="139">
        <f>285300/10000</f>
        <v>28.53</v>
      </c>
      <c r="D12" s="57" t="s">
        <v>322</v>
      </c>
      <c r="E12" s="54" t="s">
        <v>138</v>
      </c>
      <c r="F12" s="144">
        <v>14</v>
      </c>
    </row>
    <row r="13" spans="1:6" ht="18" customHeight="1">
      <c r="A13" s="56" t="s">
        <v>323</v>
      </c>
      <c r="B13" s="54" t="s">
        <v>57</v>
      </c>
      <c r="C13" s="139"/>
      <c r="D13" s="57" t="s">
        <v>324</v>
      </c>
      <c r="E13" s="54" t="s">
        <v>144</v>
      </c>
      <c r="F13" s="144"/>
    </row>
    <row r="14" spans="1:6" ht="18" customHeight="1">
      <c r="A14" s="56" t="s">
        <v>325</v>
      </c>
      <c r="B14" s="54" t="s">
        <v>62</v>
      </c>
      <c r="C14" s="138" t="s">
        <v>308</v>
      </c>
      <c r="D14" s="57" t="s">
        <v>326</v>
      </c>
      <c r="E14" s="54" t="s">
        <v>150</v>
      </c>
      <c r="F14" s="144"/>
    </row>
    <row r="15" spans="1:6" ht="18" customHeight="1">
      <c r="A15" s="56" t="s">
        <v>327</v>
      </c>
      <c r="B15" s="54" t="s">
        <v>66</v>
      </c>
      <c r="C15" s="140"/>
      <c r="D15" s="57" t="s">
        <v>328</v>
      </c>
      <c r="E15" s="54" t="s">
        <v>156</v>
      </c>
      <c r="F15" s="144"/>
    </row>
    <row r="16" spans="1:6" ht="18" customHeight="1">
      <c r="A16" s="56" t="s">
        <v>329</v>
      </c>
      <c r="B16" s="54" t="s">
        <v>71</v>
      </c>
      <c r="C16" s="140"/>
      <c r="D16" s="57" t="s">
        <v>330</v>
      </c>
      <c r="E16" s="54" t="s">
        <v>161</v>
      </c>
      <c r="F16" s="58"/>
    </row>
    <row r="17" spans="1:6" ht="18" customHeight="1">
      <c r="A17" s="56" t="s">
        <v>331</v>
      </c>
      <c r="B17" s="54" t="s">
        <v>76</v>
      </c>
      <c r="C17" s="140"/>
      <c r="D17" s="57" t="s">
        <v>332</v>
      </c>
      <c r="E17" s="54" t="s">
        <v>166</v>
      </c>
      <c r="F17" s="59"/>
    </row>
    <row r="18" spans="1:6" ht="18" customHeight="1">
      <c r="A18" s="56" t="s">
        <v>333</v>
      </c>
      <c r="B18" s="54" t="s">
        <v>81</v>
      </c>
      <c r="C18" s="140">
        <v>14</v>
      </c>
      <c r="D18" s="57" t="s">
        <v>332</v>
      </c>
      <c r="E18" s="54" t="s">
        <v>168</v>
      </c>
      <c r="F18" s="59"/>
    </row>
    <row r="19" spans="1:6" ht="18" customHeight="1">
      <c r="A19" s="56" t="s">
        <v>334</v>
      </c>
      <c r="B19" s="54" t="s">
        <v>86</v>
      </c>
      <c r="C19" s="140">
        <v>100</v>
      </c>
      <c r="D19" s="57" t="s">
        <v>332</v>
      </c>
      <c r="E19" s="54" t="s">
        <v>170</v>
      </c>
      <c r="F19" s="59"/>
    </row>
    <row r="20" spans="1:6" ht="18" customHeight="1">
      <c r="A20" s="56" t="s">
        <v>335</v>
      </c>
      <c r="B20" s="54" t="s">
        <v>91</v>
      </c>
      <c r="C20" s="140">
        <v>500</v>
      </c>
      <c r="D20" s="57" t="s">
        <v>332</v>
      </c>
      <c r="E20" s="54" t="s">
        <v>207</v>
      </c>
      <c r="F20" s="59"/>
    </row>
    <row r="21" spans="1:6" ht="18" customHeight="1">
      <c r="A21" s="56" t="s">
        <v>336</v>
      </c>
      <c r="B21" s="54" t="s">
        <v>96</v>
      </c>
      <c r="C21" s="140"/>
      <c r="D21" s="57" t="s">
        <v>332</v>
      </c>
      <c r="E21" s="54" t="s">
        <v>208</v>
      </c>
      <c r="F21" s="59"/>
    </row>
    <row r="22" spans="1:6" ht="18" customHeight="1">
      <c r="A22" s="60" t="s">
        <v>337</v>
      </c>
      <c r="B22" s="61" t="s">
        <v>101</v>
      </c>
      <c r="C22" s="141"/>
      <c r="D22" s="62" t="s">
        <v>332</v>
      </c>
      <c r="E22" s="61" t="s">
        <v>173</v>
      </c>
      <c r="F22" s="63"/>
    </row>
  </sheetData>
  <mergeCells count="3">
    <mergeCell ref="A1:F1"/>
    <mergeCell ref="B3:B4"/>
    <mergeCell ref="E3:E4"/>
  </mergeCells>
  <printOptions/>
  <pageMargins left="0.75" right="0.75" top="1" bottom="1" header="0.5111111111111111" footer="0.5111111111111111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4"/>
  <sheetViews>
    <sheetView zoomScaleSheetLayoutView="100" workbookViewId="0" topLeftCell="A1">
      <selection activeCell="H32" sqref="H32"/>
    </sheetView>
  </sheetViews>
  <sheetFormatPr defaultColWidth="9.00390625" defaultRowHeight="14.25"/>
  <cols>
    <col min="1" max="3" width="7.00390625" style="0" customWidth="1"/>
    <col min="4" max="4" width="21.25390625" style="0" customWidth="1"/>
    <col min="5" max="10" width="14.00390625" style="0" customWidth="1"/>
  </cols>
  <sheetData>
    <row r="1" spans="1:10" ht="21">
      <c r="A1" s="211" t="s">
        <v>338</v>
      </c>
      <c r="B1" s="212"/>
      <c r="C1" s="212"/>
      <c r="D1" s="212"/>
      <c r="E1" s="212"/>
      <c r="F1" s="212"/>
      <c r="G1" s="212"/>
      <c r="H1" s="212"/>
      <c r="I1" s="212"/>
      <c r="J1" s="212"/>
    </row>
    <row r="2" spans="1:10" ht="15">
      <c r="A2" s="65" t="s">
        <v>343</v>
      </c>
      <c r="B2" s="64"/>
      <c r="C2" s="64"/>
      <c r="D2" s="64"/>
      <c r="E2" s="64"/>
      <c r="F2" s="64"/>
      <c r="G2" s="64"/>
      <c r="H2" s="67"/>
      <c r="I2" s="67"/>
      <c r="J2" s="68" t="s">
        <v>1</v>
      </c>
    </row>
    <row r="3" spans="1:10" ht="19.5" customHeight="1">
      <c r="A3" s="210" t="s">
        <v>4</v>
      </c>
      <c r="B3" s="210"/>
      <c r="C3" s="210"/>
      <c r="D3" s="210"/>
      <c r="E3" s="210" t="s">
        <v>188</v>
      </c>
      <c r="F3" s="210" t="s">
        <v>249</v>
      </c>
      <c r="G3" s="210" t="s">
        <v>254</v>
      </c>
      <c r="H3" s="213" t="s">
        <v>339</v>
      </c>
      <c r="I3" s="213"/>
      <c r="J3" s="213"/>
    </row>
    <row r="4" spans="1:10" ht="19.5" customHeight="1">
      <c r="A4" s="210" t="s">
        <v>218</v>
      </c>
      <c r="B4" s="210"/>
      <c r="C4" s="210"/>
      <c r="D4" s="210" t="s">
        <v>184</v>
      </c>
      <c r="E4" s="210"/>
      <c r="F4" s="210"/>
      <c r="G4" s="210"/>
      <c r="H4" s="210" t="s">
        <v>201</v>
      </c>
      <c r="I4" s="210" t="s">
        <v>262</v>
      </c>
      <c r="J4" s="210" t="s">
        <v>287</v>
      </c>
    </row>
    <row r="5" spans="1:10" ht="19.5" customHeight="1">
      <c r="A5" s="210"/>
      <c r="B5" s="210"/>
      <c r="C5" s="210"/>
      <c r="D5" s="210"/>
      <c r="E5" s="210"/>
      <c r="F5" s="210"/>
      <c r="G5" s="210"/>
      <c r="H5" s="210"/>
      <c r="I5" s="210"/>
      <c r="J5" s="210"/>
    </row>
    <row r="6" spans="1:10" ht="19.5" customHeight="1">
      <c r="A6" s="210"/>
      <c r="B6" s="210"/>
      <c r="C6" s="210"/>
      <c r="D6" s="210"/>
      <c r="E6" s="210"/>
      <c r="F6" s="210"/>
      <c r="G6" s="210"/>
      <c r="H6" s="210"/>
      <c r="I6" s="210"/>
      <c r="J6" s="210"/>
    </row>
    <row r="7" spans="1:10" ht="19.5" customHeight="1">
      <c r="A7" s="210" t="s">
        <v>185</v>
      </c>
      <c r="B7" s="210" t="s">
        <v>186</v>
      </c>
      <c r="C7" s="210" t="s">
        <v>187</v>
      </c>
      <c r="D7" s="66" t="s">
        <v>9</v>
      </c>
      <c r="E7" s="66" t="s">
        <v>11</v>
      </c>
      <c r="F7" s="66">
        <v>2</v>
      </c>
      <c r="G7" s="66">
        <v>3</v>
      </c>
      <c r="H7" s="66">
        <v>4</v>
      </c>
      <c r="I7" s="66">
        <v>5</v>
      </c>
      <c r="J7" s="66">
        <v>6</v>
      </c>
    </row>
    <row r="8" spans="1:10" ht="19.5" customHeight="1">
      <c r="A8" s="210"/>
      <c r="B8" s="210"/>
      <c r="C8" s="210"/>
      <c r="D8" s="66" t="s">
        <v>188</v>
      </c>
      <c r="E8" s="146">
        <f>G8+I8</f>
        <v>77.37504799999999</v>
      </c>
      <c r="F8" s="98"/>
      <c r="G8" s="146">
        <f>285300/10000</f>
        <v>28.53</v>
      </c>
      <c r="H8" s="146">
        <f>I8</f>
        <v>48.845048</v>
      </c>
      <c r="I8" s="146">
        <f>488450.48/10000</f>
        <v>48.845048</v>
      </c>
      <c r="J8" s="98"/>
    </row>
    <row r="9" spans="1:10" s="96" customFormat="1" ht="25.5" customHeight="1">
      <c r="A9" s="151">
        <v>211</v>
      </c>
      <c r="B9" s="151">
        <v>211</v>
      </c>
      <c r="C9" s="151">
        <v>211</v>
      </c>
      <c r="D9" s="99" t="s">
        <v>351</v>
      </c>
      <c r="E9" s="146">
        <f aca="true" t="shared" si="0" ref="E9:E14">G9+I9</f>
        <v>77.37504799999999</v>
      </c>
      <c r="F9" s="113"/>
      <c r="G9" s="135">
        <f>285300/10000</f>
        <v>28.53</v>
      </c>
      <c r="H9" s="146">
        <f aca="true" t="shared" si="1" ref="H9:H14">I9</f>
        <v>48.845048</v>
      </c>
      <c r="I9" s="135">
        <f>488450.48/10000</f>
        <v>48.845048</v>
      </c>
      <c r="J9" s="113"/>
    </row>
    <row r="10" spans="1:10" s="96" customFormat="1" ht="25.5" customHeight="1">
      <c r="A10" s="151">
        <v>21101</v>
      </c>
      <c r="B10" s="151">
        <v>21101</v>
      </c>
      <c r="C10" s="151">
        <v>21101</v>
      </c>
      <c r="D10" s="99" t="s">
        <v>352</v>
      </c>
      <c r="E10" s="146">
        <f t="shared" si="0"/>
        <v>11.893951000000001</v>
      </c>
      <c r="F10" s="113"/>
      <c r="G10" s="135">
        <f>7235.3/10000</f>
        <v>0.72353</v>
      </c>
      <c r="H10" s="146">
        <f t="shared" si="1"/>
        <v>11.170421000000001</v>
      </c>
      <c r="I10" s="135">
        <f>111704.21/10000</f>
        <v>11.170421000000001</v>
      </c>
      <c r="J10" s="113"/>
    </row>
    <row r="11" spans="1:10" s="96" customFormat="1" ht="25.5" customHeight="1">
      <c r="A11" s="151">
        <v>2110101</v>
      </c>
      <c r="B11" s="151">
        <v>2110101</v>
      </c>
      <c r="C11" s="151">
        <v>2110101</v>
      </c>
      <c r="D11" s="99" t="s">
        <v>362</v>
      </c>
      <c r="E11" s="146">
        <f t="shared" si="0"/>
        <v>11.893951000000001</v>
      </c>
      <c r="F11" s="113"/>
      <c r="G11" s="135">
        <f>7235.3/10000</f>
        <v>0.72353</v>
      </c>
      <c r="H11" s="146">
        <f t="shared" si="1"/>
        <v>11.170421000000001</v>
      </c>
      <c r="I11" s="135">
        <f>111704.21/10000</f>
        <v>11.170421000000001</v>
      </c>
      <c r="J11" s="113"/>
    </row>
    <row r="12" spans="1:10" s="96" customFormat="1" ht="25.5" customHeight="1">
      <c r="A12" s="151">
        <v>21103</v>
      </c>
      <c r="B12" s="151">
        <v>21103</v>
      </c>
      <c r="C12" s="151">
        <v>21103</v>
      </c>
      <c r="D12" s="99" t="s">
        <v>353</v>
      </c>
      <c r="E12" s="146">
        <f t="shared" si="0"/>
        <v>65.481097</v>
      </c>
      <c r="F12" s="113"/>
      <c r="G12" s="135">
        <f>278064.7/10000</f>
        <v>27.80647</v>
      </c>
      <c r="H12" s="146">
        <f t="shared" si="1"/>
        <v>37.674627</v>
      </c>
      <c r="I12" s="135">
        <f>376746.27/10000</f>
        <v>37.674627</v>
      </c>
      <c r="J12" s="113"/>
    </row>
    <row r="13" spans="1:10" s="96" customFormat="1" ht="25.5" customHeight="1">
      <c r="A13" s="151">
        <v>2110307</v>
      </c>
      <c r="B13" s="151">
        <v>2110307</v>
      </c>
      <c r="C13" s="151">
        <v>2110307</v>
      </c>
      <c r="D13" s="99" t="s">
        <v>368</v>
      </c>
      <c r="E13" s="146">
        <f t="shared" si="0"/>
        <v>47.300613999999996</v>
      </c>
      <c r="F13" s="113"/>
      <c r="G13" s="135">
        <f>252715.7/10000</f>
        <v>25.27157</v>
      </c>
      <c r="H13" s="146">
        <f t="shared" si="1"/>
        <v>22.029044</v>
      </c>
      <c r="I13" s="135">
        <f>220290.44/10000</f>
        <v>22.029044</v>
      </c>
      <c r="J13" s="113"/>
    </row>
    <row r="14" spans="1:10" s="96" customFormat="1" ht="25.5" customHeight="1">
      <c r="A14" s="151">
        <v>2110399</v>
      </c>
      <c r="B14" s="151">
        <v>2110399</v>
      </c>
      <c r="C14" s="151">
        <v>2110399</v>
      </c>
      <c r="D14" s="99" t="s">
        <v>369</v>
      </c>
      <c r="E14" s="146">
        <f t="shared" si="0"/>
        <v>18.180483</v>
      </c>
      <c r="F14" s="113"/>
      <c r="G14" s="135">
        <f>25349/10000</f>
        <v>2.5349</v>
      </c>
      <c r="H14" s="146">
        <f t="shared" si="1"/>
        <v>15.645582999999998</v>
      </c>
      <c r="I14" s="135">
        <f>156455.83/10000</f>
        <v>15.645582999999998</v>
      </c>
      <c r="J14" s="113"/>
    </row>
    <row r="15" s="96" customFormat="1" ht="11.25"/>
    <row r="16" s="96" customFormat="1" ht="11.25"/>
    <row r="17" s="96" customFormat="1" ht="11.25"/>
    <row r="18" s="96" customFormat="1" ht="11.25"/>
    <row r="19" s="96" customFormat="1" ht="11.25"/>
    <row r="20" s="96" customFormat="1" ht="11.25"/>
    <row r="21" s="96" customFormat="1" ht="11.25"/>
    <row r="22" s="96" customFormat="1" ht="11.25"/>
    <row r="23" s="96" customFormat="1" ht="11.25"/>
    <row r="24" s="96" customFormat="1" ht="11.25"/>
    <row r="25" s="96" customFormat="1" ht="11.25"/>
    <row r="26" s="96" customFormat="1" ht="11.25"/>
    <row r="27" s="96" customFormat="1" ht="11.25"/>
    <row r="28" s="96" customFormat="1" ht="11.25"/>
    <row r="29" s="96" customFormat="1" ht="11.25"/>
    <row r="30" s="96" customFormat="1" ht="11.25"/>
    <row r="31" s="96" customFormat="1" ht="11.25"/>
    <row r="32" s="96" customFormat="1" ht="11.25"/>
    <row r="33" s="96" customFormat="1" ht="11.25"/>
    <row r="34" s="96" customFormat="1" ht="11.25"/>
    <row r="35" s="96" customFormat="1" ht="11.25"/>
    <row r="36" s="96" customFormat="1" ht="11.25"/>
    <row r="37" s="96" customFormat="1" ht="11.25"/>
    <row r="38" s="96" customFormat="1" ht="11.25"/>
    <row r="39" s="96" customFormat="1" ht="11.25"/>
    <row r="40" s="96" customFormat="1" ht="11.25"/>
    <row r="41" s="96" customFormat="1" ht="11.25"/>
    <row r="42" s="96" customFormat="1" ht="11.25"/>
    <row r="43" s="96" customFormat="1" ht="11.25"/>
    <row r="44" s="96" customFormat="1" ht="11.25"/>
    <row r="45" s="96" customFormat="1" ht="11.25"/>
    <row r="46" s="96" customFormat="1" ht="11.25"/>
  </sheetData>
  <mergeCells count="20">
    <mergeCell ref="A13:C13"/>
    <mergeCell ref="A14:C14"/>
    <mergeCell ref="A11:C11"/>
    <mergeCell ref="A12:C12"/>
    <mergeCell ref="A9:C9"/>
    <mergeCell ref="A10:C10"/>
    <mergeCell ref="A1:J1"/>
    <mergeCell ref="A3:D3"/>
    <mergeCell ref="H3:J3"/>
    <mergeCell ref="A7:A8"/>
    <mergeCell ref="B7:B8"/>
    <mergeCell ref="C7:C8"/>
    <mergeCell ref="D4:D6"/>
    <mergeCell ref="E3:E6"/>
    <mergeCell ref="J4:J6"/>
    <mergeCell ref="A4:C6"/>
    <mergeCell ref="F3:F6"/>
    <mergeCell ref="G3:G6"/>
    <mergeCell ref="H4:H6"/>
    <mergeCell ref="I4:I6"/>
  </mergeCells>
  <printOptions/>
  <pageMargins left="0.75" right="0.26" top="0.69" bottom="1" header="0.5111111111111111" footer="0.5111111111111111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0"/>
  <sheetViews>
    <sheetView tabSelected="1" zoomScaleSheetLayoutView="100" workbookViewId="0" topLeftCell="A1">
      <selection activeCell="N21" sqref="N21"/>
    </sheetView>
  </sheetViews>
  <sheetFormatPr defaultColWidth="9.00390625" defaultRowHeight="14.25"/>
  <cols>
    <col min="1" max="3" width="3.50390625" style="0" customWidth="1"/>
    <col min="4" max="4" width="12.25390625" style="0" customWidth="1"/>
    <col min="5" max="5" width="6.625" style="0" customWidth="1"/>
    <col min="6" max="6" width="8.125" style="0" bestFit="1" customWidth="1"/>
    <col min="7" max="7" width="5.25390625" style="0" customWidth="1"/>
    <col min="8" max="8" width="21.25390625" style="0" bestFit="1" customWidth="1"/>
    <col min="9" max="9" width="5.50390625" style="0" customWidth="1"/>
    <col min="10" max="10" width="5.625" style="0" customWidth="1"/>
    <col min="11" max="11" width="8.125" style="0" bestFit="1" customWidth="1"/>
    <col min="12" max="12" width="11.875" style="0" bestFit="1" customWidth="1"/>
    <col min="13" max="13" width="5.50390625" style="0" customWidth="1"/>
    <col min="14" max="14" width="21.25390625" style="0" bestFit="1" customWidth="1"/>
  </cols>
  <sheetData>
    <row r="1" spans="1:14" ht="24" customHeight="1">
      <c r="A1" s="218" t="s">
        <v>340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</row>
    <row r="2" spans="1:14" ht="21" customHeight="1">
      <c r="A2" s="220" t="s">
        <v>343</v>
      </c>
      <c r="B2" s="220"/>
      <c r="C2" s="220"/>
      <c r="D2" s="220"/>
      <c r="E2" s="69"/>
      <c r="F2" s="70"/>
      <c r="G2" s="70"/>
      <c r="H2" s="70"/>
      <c r="I2" s="70"/>
      <c r="J2" s="70"/>
      <c r="K2" s="70"/>
      <c r="L2" s="70"/>
      <c r="M2" s="70"/>
      <c r="N2" s="71" t="s">
        <v>1</v>
      </c>
    </row>
    <row r="3" spans="1:14" ht="24" customHeight="1">
      <c r="A3" s="221" t="s">
        <v>4</v>
      </c>
      <c r="B3" s="222"/>
      <c r="C3" s="222"/>
      <c r="D3" s="222"/>
      <c r="E3" s="222" t="s">
        <v>216</v>
      </c>
      <c r="F3" s="222"/>
      <c r="G3" s="222"/>
      <c r="H3" s="222"/>
      <c r="I3" s="222" t="s">
        <v>217</v>
      </c>
      <c r="J3" s="222"/>
      <c r="K3" s="222"/>
      <c r="L3" s="222"/>
      <c r="M3" s="222"/>
      <c r="N3" s="222"/>
    </row>
    <row r="4" spans="1:14" ht="18" customHeight="1">
      <c r="A4" s="215" t="s">
        <v>218</v>
      </c>
      <c r="B4" s="214"/>
      <c r="C4" s="214"/>
      <c r="D4" s="214" t="s">
        <v>184</v>
      </c>
      <c r="E4" s="214" t="s">
        <v>188</v>
      </c>
      <c r="F4" s="214" t="s">
        <v>190</v>
      </c>
      <c r="G4" s="214" t="s">
        <v>191</v>
      </c>
      <c r="H4" s="214"/>
      <c r="I4" s="214" t="s">
        <v>188</v>
      </c>
      <c r="J4" s="214" t="s">
        <v>190</v>
      </c>
      <c r="K4" s="214"/>
      <c r="L4" s="214"/>
      <c r="M4" s="214" t="s">
        <v>191</v>
      </c>
      <c r="N4" s="214"/>
    </row>
    <row r="5" spans="1:14" ht="14.25">
      <c r="A5" s="215"/>
      <c r="B5" s="214"/>
      <c r="C5" s="214"/>
      <c r="D5" s="214"/>
      <c r="E5" s="214"/>
      <c r="F5" s="214"/>
      <c r="G5" s="214" t="s">
        <v>201</v>
      </c>
      <c r="H5" s="214" t="s">
        <v>219</v>
      </c>
      <c r="I5" s="214"/>
      <c r="J5" s="214" t="s">
        <v>201</v>
      </c>
      <c r="K5" s="214" t="s">
        <v>220</v>
      </c>
      <c r="L5" s="214" t="s">
        <v>221</v>
      </c>
      <c r="M5" s="214" t="s">
        <v>201</v>
      </c>
      <c r="N5" s="214" t="s">
        <v>219</v>
      </c>
    </row>
    <row r="6" spans="1:14" ht="14.25">
      <c r="A6" s="215"/>
      <c r="B6" s="214"/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</row>
    <row r="7" spans="1:14" ht="18.75" customHeight="1">
      <c r="A7" s="215" t="s">
        <v>185</v>
      </c>
      <c r="B7" s="214" t="s">
        <v>186</v>
      </c>
      <c r="C7" s="214" t="s">
        <v>187</v>
      </c>
      <c r="D7" s="72" t="s">
        <v>9</v>
      </c>
      <c r="E7" s="73">
        <v>1</v>
      </c>
      <c r="F7" s="73">
        <v>2</v>
      </c>
      <c r="G7" s="73">
        <v>3</v>
      </c>
      <c r="H7" s="73">
        <v>4</v>
      </c>
      <c r="I7" s="73">
        <v>5</v>
      </c>
      <c r="J7" s="73">
        <v>6</v>
      </c>
      <c r="K7" s="73">
        <v>7</v>
      </c>
      <c r="L7" s="73">
        <v>8</v>
      </c>
      <c r="M7" s="73">
        <v>9</v>
      </c>
      <c r="N7" s="73">
        <v>10</v>
      </c>
    </row>
    <row r="8" spans="1:14" ht="18.75" customHeight="1">
      <c r="A8" s="216"/>
      <c r="B8" s="217"/>
      <c r="C8" s="217"/>
      <c r="D8" s="74" t="s">
        <v>188</v>
      </c>
      <c r="E8" s="153">
        <v>0</v>
      </c>
      <c r="F8" s="153">
        <v>0</v>
      </c>
      <c r="G8" s="153">
        <v>0</v>
      </c>
      <c r="H8" s="153">
        <v>0</v>
      </c>
      <c r="I8" s="153">
        <v>0</v>
      </c>
      <c r="J8" s="153">
        <v>0</v>
      </c>
      <c r="K8" s="153">
        <v>0</v>
      </c>
      <c r="L8" s="153">
        <v>0</v>
      </c>
      <c r="M8" s="153">
        <v>0</v>
      </c>
      <c r="N8" s="153">
        <v>0</v>
      </c>
    </row>
    <row r="9" spans="1:14" ht="22.5" customHeight="1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</row>
    <row r="10" spans="1:14" ht="22.5" customHeight="1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</row>
    <row r="11" spans="1:14" ht="22.5" customHeight="1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</row>
    <row r="12" spans="1:14" ht="22.5" customHeight="1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</row>
    <row r="13" spans="1:14" ht="22.5" customHeight="1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</row>
    <row r="14" spans="1:14" ht="22.5" customHeight="1">
      <c r="A14" s="43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</row>
    <row r="15" spans="1:14" ht="22.5" customHeight="1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</row>
    <row r="16" spans="1:14" ht="22.5" customHeight="1">
      <c r="A16" s="43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</row>
    <row r="17" spans="1:14" ht="22.5" customHeight="1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</row>
    <row r="18" spans="1:14" ht="22.5" customHeight="1">
      <c r="A18" s="43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</row>
    <row r="19" spans="1:14" ht="22.5" customHeight="1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</row>
    <row r="20" spans="1:14" ht="22.5" customHeight="1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</row>
    <row r="21" ht="18.75" customHeight="1"/>
  </sheetData>
  <mergeCells count="23">
    <mergeCell ref="A1:N1"/>
    <mergeCell ref="A2:D2"/>
    <mergeCell ref="A3:D3"/>
    <mergeCell ref="E3:H3"/>
    <mergeCell ref="I3:N3"/>
    <mergeCell ref="F4:F6"/>
    <mergeCell ref="G5:G6"/>
    <mergeCell ref="L5:L6"/>
    <mergeCell ref="M5:M6"/>
    <mergeCell ref="A7:A8"/>
    <mergeCell ref="B7:B8"/>
    <mergeCell ref="C7:C8"/>
    <mergeCell ref="D4:D6"/>
    <mergeCell ref="N5:N6"/>
    <mergeCell ref="A4:C6"/>
    <mergeCell ref="H5:H6"/>
    <mergeCell ref="I4:I6"/>
    <mergeCell ref="J5:J6"/>
    <mergeCell ref="K5:K6"/>
    <mergeCell ref="G4:H4"/>
    <mergeCell ref="J4:L4"/>
    <mergeCell ref="M4:N4"/>
    <mergeCell ref="E4:E6"/>
  </mergeCells>
  <printOptions/>
  <pageMargins left="0.75" right="0.75" top="0.51" bottom="1" header="0.5111111111111111" footer="0.511111111111111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王琼霞</cp:lastModifiedBy>
  <cp:lastPrinted>2016-07-04T08:07:09Z</cp:lastPrinted>
  <dcterms:created xsi:type="dcterms:W3CDTF">2011-09-13T11:12:31Z</dcterms:created>
  <dcterms:modified xsi:type="dcterms:W3CDTF">2016-07-04T08:07:37Z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2052-8.1.0.3199</vt:lpwstr>
  </property>
</Properties>
</file>